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mal\Desktop\"/>
    </mc:Choice>
  </mc:AlternateContent>
  <xr:revisionPtr revIDLastSave="0" documentId="8_{92398ECD-4ADB-475B-9CC6-EA273B1F6F84}" xr6:coauthVersionLast="36" xr6:coauthVersionMax="36" xr10:uidLastSave="{00000000-0000-0000-0000-000000000000}"/>
  <bookViews>
    <workbookView xWindow="0" yWindow="0" windowWidth="28780" windowHeight="11590"/>
  </bookViews>
  <sheets>
    <sheet name="frekwencja_g17_00_gminy" sheetId="1" r:id="rId1"/>
  </sheets>
  <calcPr calcId="0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</calcChain>
</file>

<file path=xl/sharedStrings.xml><?xml version="1.0" encoding="utf-8"?>
<sst xmlns="http://schemas.openxmlformats.org/spreadsheetml/2006/main" count="7491" uniqueCount="2439">
  <si>
    <t>godzina</t>
  </si>
  <si>
    <t>województwo</t>
  </si>
  <si>
    <t>gmina</t>
  </si>
  <si>
    <t>TERYT</t>
  </si>
  <si>
    <t>liczba uprawnionych</t>
  </si>
  <si>
    <t>liczba wyborców, którym wydano karty do głosowania</t>
  </si>
  <si>
    <t>frekwencja</t>
  </si>
  <si>
    <t>podano</t>
  </si>
  <si>
    <t>Liczba wyborców z meldunku wyborczego</t>
  </si>
  <si>
    <t>17_00</t>
  </si>
  <si>
    <t>dolnośląskie</t>
  </si>
  <si>
    <t>m. Bolesławiec</t>
  </si>
  <si>
    <t>gm. Bolesławiec</t>
  </si>
  <si>
    <t>gm. Gromadka</t>
  </si>
  <si>
    <t>gm. Nowogrodziec</t>
  </si>
  <si>
    <t>gm. Osiecznica</t>
  </si>
  <si>
    <t>gm. Warta Bolesławiecka</t>
  </si>
  <si>
    <t>m. Bielawa</t>
  </si>
  <si>
    <t>m. Dzierżoniów</t>
  </si>
  <si>
    <t>gm. Pieszyce</t>
  </si>
  <si>
    <t>m. Piława Górna</t>
  </si>
  <si>
    <t>gm. Dzierżoniów</t>
  </si>
  <si>
    <t>gm. Łagiewniki</t>
  </si>
  <si>
    <t>gm. Niemcza</t>
  </si>
  <si>
    <t>m. Głogów</t>
  </si>
  <si>
    <t>gm. Głogów</t>
  </si>
  <si>
    <t>gm. Jerzmanowa</t>
  </si>
  <si>
    <t>gm. Kotla</t>
  </si>
  <si>
    <t>gm. Pęcław</t>
  </si>
  <si>
    <t>gm. Żukowice</t>
  </si>
  <si>
    <t>gm. Góra</t>
  </si>
  <si>
    <t>gm. Jemielno</t>
  </si>
  <si>
    <t>gm. Niechlów</t>
  </si>
  <si>
    <t>gm. Wąsosz</t>
  </si>
  <si>
    <t>m. Jawor</t>
  </si>
  <si>
    <t>gm. Bolków</t>
  </si>
  <si>
    <t>gm. Męcinka</t>
  </si>
  <si>
    <t>gm. Mściwojów</t>
  </si>
  <si>
    <t>gm. Paszowice</t>
  </si>
  <si>
    <t>gm. Wądroże Wielkie</t>
  </si>
  <si>
    <t>m. Karpacz</t>
  </si>
  <si>
    <t>m. Kowary</t>
  </si>
  <si>
    <t>m. Piechowice</t>
  </si>
  <si>
    <t>m. Szklarska Poręba</t>
  </si>
  <si>
    <t>gm. Janowice Wielkie</t>
  </si>
  <si>
    <t>gm. Jeżów Sudecki</t>
  </si>
  <si>
    <t>gm. Mysłakowice</t>
  </si>
  <si>
    <t>gm. Podgórzyn</t>
  </si>
  <si>
    <t>gm. Stara Kamienica</t>
  </si>
  <si>
    <t>m. Kamienna Góra</t>
  </si>
  <si>
    <t>gm. Kamienna Góra</t>
  </si>
  <si>
    <t>gm. Lubawka</t>
  </si>
  <si>
    <t>gm. Marciszów</t>
  </si>
  <si>
    <t>m. Duszniki-Zdrój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</si>
  <si>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</si>
  <si>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</si>
  <si>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</si>
  <si>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</si>
  <si>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</si>
  <si>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</si>
  <si>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</si>
  <si>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</si>
  <si>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</si>
  <si>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</si>
  <si>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</si>
  <si>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</si>
  <si>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</si>
  <si>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m. Chojnów</t>
  </si>
  <si>
    <t>gm. Chojnów</t>
  </si>
  <si>
    <t>gm. Krotoszyce</t>
  </si>
  <si>
    <t>gm. Kunice</t>
  </si>
  <si>
    <t>gm. Legnickie Pole</t>
  </si>
  <si>
    <t>gm. Miłkowice</t>
  </si>
  <si>
    <t>gm. Prochowice</t>
  </si>
  <si>
    <t>gm. Ruja</t>
  </si>
  <si>
    <t>m. Lubań</t>
  </si>
  <si>
    <t>m. Świeradów-Zdrój</t>
  </si>
  <si>
    <t>gm. Leśna</t>
  </si>
  <si>
    <t>gm. Lubań</t>
  </si>
  <si>
    <t>gm. Olszyna</t>
  </si>
  <si>
    <t>gm. Platerówka</t>
  </si>
  <si>
    <t>gm. Siekierczyn</t>
  </si>
  <si>
    <t>m. Lubin</t>
  </si>
  <si>
    <t>gm. Lubin</t>
  </si>
  <si>
    <t>gm. Rudna</t>
  </si>
  <si>
    <t>gm. Ścinawa</t>
  </si>
  <si>
    <t>gm. Gryfów Śląski</t>
  </si>
  <si>
    <t>gm. Lubomierz</t>
  </si>
  <si>
    <t>gm. Lwówek Śląski</t>
  </si>
  <si>
    <t>gm. Mirsk</t>
  </si>
  <si>
    <t>gm. Wleń</t>
  </si>
  <si>
    <t>gm. Cieszków</t>
  </si>
  <si>
    <t>gm. Krośnice</t>
  </si>
  <si>
    <t>gm. Milicz</t>
  </si>
  <si>
    <t>m. Oleśnica</t>
  </si>
  <si>
    <t>gm. Bierutów</t>
  </si>
  <si>
    <t>gm. Dobroszyce</t>
  </si>
  <si>
    <t>gm. Dziadowa Kłoda</t>
  </si>
  <si>
    <t>gm. Międzybórz</t>
  </si>
  <si>
    <t>gm. Oleśnica</t>
  </si>
  <si>
    <t>gm. Syców</t>
  </si>
  <si>
    <t>gm. Twardogóra</t>
  </si>
  <si>
    <t>m. Oława</t>
  </si>
  <si>
    <t>gm. Domaniów</t>
  </si>
  <si>
    <t>gm. Jelcz-Laskowice</t>
  </si>
  <si>
    <t>gm. Oława</t>
  </si>
  <si>
    <t>gm. Chocianów</t>
  </si>
  <si>
    <t>gm. Gaworzyce</t>
  </si>
  <si>
    <t>gm. Grębocice</t>
  </si>
  <si>
    <t>gm. Polkowice</t>
  </si>
  <si>
    <t>gm. Przemków</t>
  </si>
  <si>
    <t>gm. Radwanice</t>
  </si>
  <si>
    <t>gm. Borów</t>
  </si>
  <si>
    <t>gm. Kondratowice</t>
  </si>
  <si>
    <t>gm. Przeworno</t>
  </si>
  <si>
    <t>gm. Strzelin</t>
  </si>
  <si>
    <t>gm. Wiązów</t>
  </si>
  <si>
    <t>gm. Kostomłoty</t>
  </si>
  <si>
    <t>gm. Malczyce</t>
  </si>
  <si>
    <t>gm. Miękinia</t>
  </si>
  <si>
    <t>gm. Środa Śląska</t>
  </si>
  <si>
    <t>gm. Udanin</t>
  </si>
  <si>
    <t>m. Świdnica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</si>
  <si>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</si>
  <si>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</si>
  <si>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</si>
  <si>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</si>
  <si>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</si>
  <si>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</si>
  <si>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</si>
  <si>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gm. Oborniki Śląskie</t>
  </si>
  <si>
    <t>gm. Prusice</t>
  </si>
  <si>
    <t>gm. Trzebnica</t>
  </si>
  <si>
    <t>gm. Wisznia Mała</t>
  </si>
  <si>
    <t>gm. Zawonia</t>
  </si>
  <si>
    <t>gm. Żmigród</t>
  </si>
  <si>
    <t>m. Boguszów-Gorce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</si>
  <si>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</si>
  <si>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</si>
  <si>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</si>
  <si>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</si>
  <si>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</si>
  <si>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</si>
  <si>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</si>
  <si>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gm. Brzeg Dolny</t>
  </si>
  <si>
    <t>gm. Wińsko</t>
  </si>
  <si>
    <t>gm. Wołów</t>
  </si>
  <si>
    <t>gm. Czernica</t>
  </si>
  <si>
    <t>gm. Długołęka</t>
  </si>
  <si>
    <t>gm. Jordanów Śląski</t>
  </si>
  <si>
    <t>gm. Kąty Wrocławskie</t>
  </si>
  <si>
    <t>gm. Kobierzyce</t>
  </si>
  <si>
    <t>gm. Mietków</t>
  </si>
  <si>
    <t>gm. Sobótka</t>
  </si>
  <si>
    <t>gm. Siechnice</t>
  </si>
  <si>
    <t>gm. Żórawina</t>
  </si>
  <si>
    <t>gm. Bardo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</si>
  <si>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</si>
  <si>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</si>
  <si>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</si>
  <si>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</si>
  <si>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</si>
  <si>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</si>
  <si>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m. Zawidów</t>
  </si>
  <si>
    <t>m. Zgorzelec</t>
  </si>
  <si>
    <t>gm. Bogatynia</t>
  </si>
  <si>
    <t>gm. Pieńsk</t>
  </si>
  <si>
    <t>gm. Sulików</t>
  </si>
  <si>
    <t>gm. Węgliniec</t>
  </si>
  <si>
    <t>gm. Zgorzelec</t>
  </si>
  <si>
    <t>m. Wojcieszów</t>
  </si>
  <si>
    <t>m. Złotoryja</t>
  </si>
  <si>
    <t>gm. Pielgrzymka</t>
  </si>
  <si>
    <t>gm. Świerzawa</t>
  </si>
  <si>
    <t>gm. Zagrodno</t>
  </si>
  <si>
    <t>gm. Złotoryja</t>
  </si>
  <si>
    <t>m. Jelenia Góra</t>
  </si>
  <si>
    <t>m. Legnica</t>
  </si>
  <si>
    <t>m. Wrocław</t>
  </si>
  <si>
    <t>m. Wałbrzych</t>
  </si>
  <si>
    <t>kujawsko-pomorskie</t>
  </si>
  <si>
    <t>m. Aleksandrów Kujawski</t>
  </si>
  <si>
    <t>m. Ciechocinek</t>
  </si>
  <si>
    <t>m. Nieszawa</t>
  </si>
  <si>
    <t>gm. Aleksandrów Kujawski</t>
  </si>
  <si>
    <t>gm. Bądkowo</t>
  </si>
  <si>
    <t>gm. Koneck</t>
  </si>
  <si>
    <t>gm. Raciążek</t>
  </si>
  <si>
    <t>gm. Waganiec</t>
  </si>
  <si>
    <t>gm. Zakrzewo</t>
  </si>
  <si>
    <t>m. Brodnica</t>
  </si>
  <si>
    <t>gm. Bobrowo</t>
  </si>
  <si>
    <t>gm. Brodnica</t>
  </si>
  <si>
    <t>gm. Brzozie</t>
  </si>
  <si>
    <t>gm. Górzno</t>
  </si>
  <si>
    <t>gm. Bartniczka</t>
  </si>
  <si>
    <t>gm. Jabłonowo Pomorskie</t>
  </si>
  <si>
    <t>gm. Osiek</t>
  </si>
  <si>
    <t>gm. Świedziebnia</t>
  </si>
  <si>
    <t>gm. Zbiczno</t>
  </si>
  <si>
    <t>gm. Białe Błota</t>
  </si>
  <si>
    <t>gm. Dąbrowa Chełmińska</t>
  </si>
  <si>
    <t>gm. Dobrcz</t>
  </si>
  <si>
    <t>gm. Koronowo</t>
  </si>
  <si>
    <t>gm. Nowa Wieś Wielka</t>
  </si>
  <si>
    <t>gm. Osielsko</t>
  </si>
  <si>
    <t>gm. Sicienko</t>
  </si>
  <si>
    <t>gm. Solec Kujawski</t>
  </si>
  <si>
    <t>m. Chełmno</t>
  </si>
  <si>
    <t>gm. Chełmno</t>
  </si>
  <si>
    <t>gm. Kijewo Królewskie</t>
  </si>
  <si>
    <t>gm. Lisewo</t>
  </si>
  <si>
    <t>gm. Papowo Biskupie</t>
  </si>
  <si>
    <t>gm. Stolno</t>
  </si>
  <si>
    <t>gm. Unisław</t>
  </si>
  <si>
    <t>m. Golub-Dobrzyń</t>
  </si>
  <si>
    <t>gm. Ciechocin</t>
  </si>
  <si>
    <t>gm. Golub-Dobrzyń</t>
  </si>
  <si>
    <t>gm. Kowalewo Pomorskie</t>
  </si>
  <si>
    <t>gm. Radomin</t>
  </si>
  <si>
    <t>gm. Zbójno</t>
  </si>
  <si>
    <t>gm. Grudziądz</t>
  </si>
  <si>
    <t>gm. Gruta</t>
  </si>
  <si>
    <t>gm. Łasin</t>
  </si>
  <si>
    <t>gm. Radzyń Chełmiński</t>
  </si>
  <si>
    <t>gm. Rogóźno</t>
  </si>
  <si>
    <t>gm. Świecie nad Osą</t>
  </si>
  <si>
    <t>m. Inowrocław</t>
  </si>
  <si>
    <t>gm. Dąbrowa Biskupia</t>
  </si>
  <si>
    <t>gm. Gniewkowo</t>
  </si>
  <si>
    <t>gm. Inowrocław</t>
  </si>
  <si>
    <t>gm. Janikowo</t>
  </si>
  <si>
    <t>gm. Kruszwica</t>
  </si>
  <si>
    <t>gm. Pakość</t>
  </si>
  <si>
    <t>gm. Rojewo</t>
  </si>
  <si>
    <t>gm. Złotniki Kujawskie</t>
  </si>
  <si>
    <t>m. Lipno</t>
  </si>
  <si>
    <t>gm. Bobrowniki</t>
  </si>
  <si>
    <t>gm. Chrostkowo</t>
  </si>
  <si>
    <t>gm. Dobrzyń nad Wisłą</t>
  </si>
  <si>
    <t>gm. Kikół</t>
  </si>
  <si>
    <t>gm. Lipno</t>
  </si>
  <si>
    <t>gm. Skępe</t>
  </si>
  <si>
    <t>gm. Tłuchowo</t>
  </si>
  <si>
    <t>gm. Wielgie</t>
  </si>
  <si>
    <t>gm. Dąbrowa</t>
  </si>
  <si>
    <t>gm. Jeziora Wielkie</t>
  </si>
  <si>
    <t>gm. Mogilno</t>
  </si>
  <si>
    <t>gm. Strzelno</t>
  </si>
  <si>
    <t>gm. Kcynia</t>
  </si>
  <si>
    <t>gm. Mrocza</t>
  </si>
  <si>
    <t>gm. Nakło nad Notecią</t>
  </si>
  <si>
    <t>gm. Sadki</t>
  </si>
  <si>
    <t>gm. Szubin</t>
  </si>
  <si>
    <t>m. Radziejów</t>
  </si>
  <si>
    <t>gm. Bytoń</t>
  </si>
  <si>
    <t>gm. Dobre</t>
  </si>
  <si>
    <t>gm. Osięciny</t>
  </si>
  <si>
    <t>gm. Piotrków Kujawski</t>
  </si>
  <si>
    <t>gm. Radziejów</t>
  </si>
  <si>
    <t>gm. Topólka</t>
  </si>
  <si>
    <t>m. Rypin</t>
  </si>
  <si>
    <t>gm. Brzuze</t>
  </si>
  <si>
    <t>gm. Rogowo</t>
  </si>
  <si>
    <t>gm. Rypin</t>
  </si>
  <si>
    <t>gm. Skrwilno</t>
  </si>
  <si>
    <t>gm. Wąpielsk</t>
  </si>
  <si>
    <t>gm. Kamień Krajeński</t>
  </si>
  <si>
    <t>gm. Sępólno Krajeńskie</t>
  </si>
  <si>
    <t>gm. Sośno</t>
  </si>
  <si>
    <t>gm. Więcbork</t>
  </si>
  <si>
    <t>gm. Bukowiec</t>
  </si>
  <si>
    <t>gm. Dragacz</t>
  </si>
  <si>
    <t>gm. Drzycim</t>
  </si>
  <si>
    <t>gm. Jeżewo</t>
  </si>
  <si>
    <t>gm. Lniano</t>
  </si>
  <si>
    <t>gm. Nowe</t>
  </si>
  <si>
    <t>gm. Osie</t>
  </si>
  <si>
    <t>gm. Pruszcz</t>
  </si>
  <si>
    <t>gm. Świecie</t>
  </si>
  <si>
    <t>gm. Świekatowo</t>
  </si>
  <si>
    <t>gm. Warlubie</t>
  </si>
  <si>
    <t>m. Chełmża</t>
  </si>
  <si>
    <t>gm. Chełmża</t>
  </si>
  <si>
    <t>gm. Czernikowo</t>
  </si>
  <si>
    <t>gm. Lubicz</t>
  </si>
  <si>
    <t>gm. Łubianka</t>
  </si>
  <si>
    <t>gm. Łysomice</t>
  </si>
  <si>
    <t>gm. Obrowo</t>
  </si>
  <si>
    <t>gm. Wielka Nieszawka</t>
  </si>
  <si>
    <t>gm. Zławieś Wielka</t>
  </si>
  <si>
    <t>gm. Cekcyn</t>
  </si>
  <si>
    <t>gm. Gostycyn</t>
  </si>
  <si>
    <t>gm. Kęsowo</t>
  </si>
  <si>
    <t>gm. Lubiewo</t>
  </si>
  <si>
    <t>gm. Śliwice</t>
  </si>
  <si>
    <t>gm. Tuchola</t>
  </si>
  <si>
    <t>m. Wąbrzeźno</t>
  </si>
  <si>
    <t>gm. Dębowa Łąka</t>
  </si>
  <si>
    <t>gm. Książki</t>
  </si>
  <si>
    <t>gm. Płużnica</t>
  </si>
  <si>
    <t>gm. Ryńsk</t>
  </si>
  <si>
    <t>m. Kowal</t>
  </si>
  <si>
    <t>gm. Baruchowo</t>
  </si>
  <si>
    <t>gm. Boniewo</t>
  </si>
  <si>
    <t>gm. Brześć Kujawski</t>
  </si>
  <si>
    <t>gm. Choceń</t>
  </si>
  <si>
    <t>gm. Chodecz</t>
  </si>
  <si>
    <t>gm. Fabianki</t>
  </si>
  <si>
    <t>gm. Izbica Kujawska</t>
  </si>
  <si>
    <t>gm. Kowal</t>
  </si>
  <si>
    <t>gm. Lubanie</t>
  </si>
  <si>
    <t>gm. Lubień Kujawski</t>
  </si>
  <si>
    <t>gm. Lubraniec</t>
  </si>
  <si>
    <t>gm. Włocławek</t>
  </si>
  <si>
    <t>gm. Barcin</t>
  </si>
  <si>
    <t>gm. Gąsawa</t>
  </si>
  <si>
    <t>gm. Janowiec Wielkopolski</t>
  </si>
  <si>
    <t>gm. Łabiszyn</t>
  </si>
  <si>
    <t>gm. Żnin</t>
  </si>
  <si>
    <t>m. Bydgoszcz</t>
  </si>
  <si>
    <t>m. Grudziądz</t>
  </si>
  <si>
    <t>m. Toruń</t>
  </si>
  <si>
    <t>m. Włocławek</t>
  </si>
  <si>
    <t>lubelskie</t>
  </si>
  <si>
    <t>m. Międzyrzec Podlaski</t>
  </si>
  <si>
    <t>m. Terespol</t>
  </si>
  <si>
    <t>gm. Biała Podlaska</t>
  </si>
  <si>
    <t>gm. Drelów</t>
  </si>
  <si>
    <t>gm. Janów Podlaski</t>
  </si>
  <si>
    <t>gm. Kodeń</t>
  </si>
  <si>
    <t>gm. Konstantynów</t>
  </si>
  <si>
    <t>gm. Leśna Podlaska</t>
  </si>
  <si>
    <t>gm. Łomazy</t>
  </si>
  <si>
    <t>gm. Międzyrzec Podlaski</t>
  </si>
  <si>
    <t>gm. Piszczac</t>
  </si>
  <si>
    <t>gm. Rokitno</t>
  </si>
  <si>
    <t>gm. Rossosz</t>
  </si>
  <si>
    <t>gm. Sławatycze</t>
  </si>
  <si>
    <t>gm. Sosnówka</t>
  </si>
  <si>
    <t>gm. Terespol</t>
  </si>
  <si>
    <t>gm. Tuczna</t>
  </si>
  <si>
    <t>gm. Wisznice</t>
  </si>
  <si>
    <t>gm. Zalesie</t>
  </si>
  <si>
    <t>m. Biłgoraj</t>
  </si>
  <si>
    <t>gm. Aleksandrów</t>
  </si>
  <si>
    <t>gm. Biłgoraj</t>
  </si>
  <si>
    <t>gm. Biszcza</t>
  </si>
  <si>
    <t>gm. Frampol</t>
  </si>
  <si>
    <t>gm. Goraj</t>
  </si>
  <si>
    <t>gm. Józefów</t>
  </si>
  <si>
    <t>gm. Księżpol</t>
  </si>
  <si>
    <t>gm. Łukowa</t>
  </si>
  <si>
    <t>gm. Obsza</t>
  </si>
  <si>
    <t>gm. Potok Górny</t>
  </si>
  <si>
    <t>gm. Tarnogród</t>
  </si>
  <si>
    <t>gm. Tereszpol</t>
  </si>
  <si>
    <t>gm. Turobin</t>
  </si>
  <si>
    <t>m. Rejowiec Fabryczny</t>
  </si>
  <si>
    <t>gm. Białopole</t>
  </si>
  <si>
    <t>gm. Chełm</t>
  </si>
  <si>
    <t>gm. Dorohusk</t>
  </si>
  <si>
    <t>gm. Dubienka</t>
  </si>
  <si>
    <t>gm. Kamień</t>
  </si>
  <si>
    <t>gm. Leśniowice</t>
  </si>
  <si>
    <t>gm. Rejowiec Fabryczny</t>
  </si>
  <si>
    <t>gm. Ruda-Huta</t>
  </si>
  <si>
    <t>gm. Sawin</t>
  </si>
  <si>
    <t>gm. Siedliszcze</t>
  </si>
  <si>
    <t>gm. Wierzbica</t>
  </si>
  <si>
    <t>gm. Wojsławice</t>
  </si>
  <si>
    <t>gm. Żmudź</t>
  </si>
  <si>
    <t>gm. Rejowiec</t>
  </si>
  <si>
    <t>m. Hrubieszów</t>
  </si>
  <si>
    <t>gm. Dołhobyczów</t>
  </si>
  <si>
    <t>gm. Horodło</t>
  </si>
  <si>
    <t>gm. Hrubieszów</t>
  </si>
  <si>
    <t>gm. Mircze</t>
  </si>
  <si>
    <t>gm. Trzeszczany</t>
  </si>
  <si>
    <t>gm. Uchanie</t>
  </si>
  <si>
    <t>gm. Werbkowice</t>
  </si>
  <si>
    <t>gm. Batorz</t>
  </si>
  <si>
    <t>gm. Chrzanów</t>
  </si>
  <si>
    <t>gm. Dzwola</t>
  </si>
  <si>
    <t>gm. Godziszów</t>
  </si>
  <si>
    <t>gm. Janów Lubelski</t>
  </si>
  <si>
    <t>gm. Modliborzyce</t>
  </si>
  <si>
    <t>gm. Potok Wielki</t>
  </si>
  <si>
    <t>m. Krasnystaw</t>
  </si>
  <si>
    <t>gm. Fajsławice</t>
  </si>
  <si>
    <t>gm. Gorzków</t>
  </si>
  <si>
    <t>gm. Izbica</t>
  </si>
  <si>
    <t>gm. Krasnystaw</t>
  </si>
  <si>
    <t>gm. Kraśniczyn</t>
  </si>
  <si>
    <t>gm. Łopiennik Górny</t>
  </si>
  <si>
    <t>gm. Rudnik</t>
  </si>
  <si>
    <t>gm. Siennica Różana</t>
  </si>
  <si>
    <t>gm. Żółkiewka</t>
  </si>
  <si>
    <t>m. Kraśnik</t>
  </si>
  <si>
    <t>gm. Annopol</t>
  </si>
  <si>
    <t>gm. Dzierzkowice</t>
  </si>
  <si>
    <t>gm. Gościeradów</t>
  </si>
  <si>
    <t>gm. Kraśnik</t>
  </si>
  <si>
    <t>gm. Szastarka</t>
  </si>
  <si>
    <t>gm. Trzydnik Duży</t>
  </si>
  <si>
    <t>gm. Urzędów</t>
  </si>
  <si>
    <t>gm. Wilkołaz</t>
  </si>
  <si>
    <t>gm. Zakrzówek</t>
  </si>
  <si>
    <t>m. Lubartów</t>
  </si>
  <si>
    <t>gm. Abramów</t>
  </si>
  <si>
    <t>gm. Firlej</t>
  </si>
  <si>
    <t>gm. Jeziorzany</t>
  </si>
  <si>
    <t>gm. Kamionka</t>
  </si>
  <si>
    <t>gm. Kock</t>
  </si>
  <si>
    <t>gm. Lubartów</t>
  </si>
  <si>
    <t>gm. Michów</t>
  </si>
  <si>
    <t>gm. Niedźwiada</t>
  </si>
  <si>
    <t>gm. Ostrów Lubelski</t>
  </si>
  <si>
    <t>gm. Ostrówek</t>
  </si>
  <si>
    <t>gm. Serniki</t>
  </si>
  <si>
    <t>gm. Uścimów</t>
  </si>
  <si>
    <t>gm. Bełżyce</t>
  </si>
  <si>
    <t>gm. Borzechów</t>
  </si>
  <si>
    <t>gm. Bychawa</t>
  </si>
  <si>
    <t>gm. Garbów</t>
  </si>
  <si>
    <t>gm. Głusk</t>
  </si>
  <si>
    <t>gm. Jabłonna</t>
  </si>
  <si>
    <t>gm. Jastków</t>
  </si>
  <si>
    <t>gm. Konopnica</t>
  </si>
  <si>
    <t>gm. Krzczonów</t>
  </si>
  <si>
    <t>gm. Niedrzwica Duża</t>
  </si>
  <si>
    <t>gm. Niemce</t>
  </si>
  <si>
    <t>gm. Strzyżewice</t>
  </si>
  <si>
    <t>gm. Wojciechów</t>
  </si>
  <si>
    <t>gm. Wólka</t>
  </si>
  <si>
    <t>gm. Wysokie</t>
  </si>
  <si>
    <t>gm. Zakrzew</t>
  </si>
  <si>
    <t>gm. Cyców</t>
  </si>
  <si>
    <t>gm. Ludwin</t>
  </si>
  <si>
    <t>gm. Łęczna</t>
  </si>
  <si>
    <t>gm. Milejów</t>
  </si>
  <si>
    <t>gm. Puchaczów</t>
  </si>
  <si>
    <t>gm. Spiczyn</t>
  </si>
  <si>
    <t>m. Łuków</t>
  </si>
  <si>
    <t>m. Stoczek Łukowski</t>
  </si>
  <si>
    <t>gm. Adamów</t>
  </si>
  <si>
    <t>gm. Krzywda</t>
  </si>
  <si>
    <t>gm. Łuków</t>
  </si>
  <si>
    <t>gm. Serokomla</t>
  </si>
  <si>
    <t>gm. Stanin</t>
  </si>
  <si>
    <t>gm. Stoczek Łukowski</t>
  </si>
  <si>
    <t>gm. Trzebieszów</t>
  </si>
  <si>
    <t>gm. Wojcieszków</t>
  </si>
  <si>
    <t>gm. Wola Mysłowska</t>
  </si>
  <si>
    <t>gm. Chodel</t>
  </si>
  <si>
    <t>gm. Józefów nad Wisłą</t>
  </si>
  <si>
    <t>gm. Karczmiska</t>
  </si>
  <si>
    <t>gm. Łaziska</t>
  </si>
  <si>
    <t>gm. Opole Lubelskie</t>
  </si>
  <si>
    <t>gm. Poniatowa</t>
  </si>
  <si>
    <t>gm. Wilków</t>
  </si>
  <si>
    <t>gm. Dębowa Kłoda</t>
  </si>
  <si>
    <t>gm. Jabłoń</t>
  </si>
  <si>
    <t>gm. Milanów</t>
  </si>
  <si>
    <t>gm. Parczew</t>
  </si>
  <si>
    <t>gm. Podedwórze</t>
  </si>
  <si>
    <t>gm. Siemień</t>
  </si>
  <si>
    <t>gm. Sosnowica</t>
  </si>
  <si>
    <t>m. Puławy</t>
  </si>
  <si>
    <t>gm. Baranów</t>
  </si>
  <si>
    <t>gm. Janowiec</t>
  </si>
  <si>
    <t>gm. Kazimierz Dolny</t>
  </si>
  <si>
    <t>gm. Końskowola</t>
  </si>
  <si>
    <t>gm. Kurów</t>
  </si>
  <si>
    <t>gm. Markuszów</t>
  </si>
  <si>
    <t>gm. Nałęczów</t>
  </si>
  <si>
    <t>gm. Puławy</t>
  </si>
  <si>
    <t>gm. Wąwolnica</t>
  </si>
  <si>
    <t>gm. Żyrzyn</t>
  </si>
  <si>
    <t>m. Radzyń Podlaski</t>
  </si>
  <si>
    <t>gm. Borki</t>
  </si>
  <si>
    <t>gm. Czemierniki</t>
  </si>
  <si>
    <t>gm. Kąkolewnica</t>
  </si>
  <si>
    <t>gm. Komarówka Podlaska</t>
  </si>
  <si>
    <t>gm. Radzyń Podlaski</t>
  </si>
  <si>
    <t>gm. Ulan-Majorat</t>
  </si>
  <si>
    <t>gm. Wohyń</t>
  </si>
  <si>
    <t>m. Dęblin</t>
  </si>
  <si>
    <t>gm. Kłoczew</t>
  </si>
  <si>
    <t>gm. Nowodwór</t>
  </si>
  <si>
    <t>gm. Ryki</t>
  </si>
  <si>
    <t>gm. Stężyca</t>
  </si>
  <si>
    <t>gm. Ułęż</t>
  </si>
  <si>
    <t>m. Świdnik</t>
  </si>
  <si>
    <t>gm. Mełgiew</t>
  </si>
  <si>
    <t>gm. Piaski</t>
  </si>
  <si>
    <t>gm. Rybczewice</t>
  </si>
  <si>
    <t>gm. Trawniki</t>
  </si>
  <si>
    <t>m. Tomaszów Lubelski</t>
  </si>
  <si>
    <t>gm. Bełżec</t>
  </si>
  <si>
    <t>gm. Jarczów</t>
  </si>
  <si>
    <t>gm. Krynice</t>
  </si>
  <si>
    <t>gm. Lubycza Królewska</t>
  </si>
  <si>
    <t>gm. Łaszczów</t>
  </si>
  <si>
    <t>gm. Rachanie</t>
  </si>
  <si>
    <t>gm. Susiec</t>
  </si>
  <si>
    <t>gm. Tarnawatka</t>
  </si>
  <si>
    <t>gm. Telatyn</t>
  </si>
  <si>
    <t>gm. Tomaszów Lubelski</t>
  </si>
  <si>
    <t>gm. Tyszowce</t>
  </si>
  <si>
    <t>gm. Ulhówek</t>
  </si>
  <si>
    <t>m. Włodawa</t>
  </si>
  <si>
    <t>gm. Hanna</t>
  </si>
  <si>
    <t>gm. Hańsk</t>
  </si>
  <si>
    <t>gm. Stary Brus</t>
  </si>
  <si>
    <t>gm. Urszulin</t>
  </si>
  <si>
    <t>gm. Włodawa</t>
  </si>
  <si>
    <t>gm. Wola Uhruska</t>
  </si>
  <si>
    <t>gm. Wyryki</t>
  </si>
  <si>
    <t>gm. Grabowiec</t>
  </si>
  <si>
    <t>gm. Komarów-Osada</t>
  </si>
  <si>
    <t>gm. Krasnobród</t>
  </si>
  <si>
    <t>gm. Łabunie</t>
  </si>
  <si>
    <t>gm. Miączyn</t>
  </si>
  <si>
    <t>gm. Nielisz</t>
  </si>
  <si>
    <t>gm. Radecznica</t>
  </si>
  <si>
    <t>gm. Sitno</t>
  </si>
  <si>
    <t>gm. Skierbieszów</t>
  </si>
  <si>
    <t>gm. Stary Zamość</t>
  </si>
  <si>
    <t>gm. Sułów</t>
  </si>
  <si>
    <t>gm. Szczebrzeszyn</t>
  </si>
  <si>
    <t>gm. Zamość</t>
  </si>
  <si>
    <t>gm. Zwierzyniec</t>
  </si>
  <si>
    <t>m. Biała Podlaska</t>
  </si>
  <si>
    <t>m. Chełm</t>
  </si>
  <si>
    <t>m. Lublin</t>
  </si>
  <si>
    <t>m. Zamość</t>
  </si>
  <si>
    <t>lubuskie</t>
  </si>
  <si>
    <t>m. Kostrzyn nad Odrą</t>
  </si>
  <si>
    <t>gm. Bogdaniec</t>
  </si>
  <si>
    <t>gm. Deszczno</t>
  </si>
  <si>
    <t>gm. Kłodawa</t>
  </si>
  <si>
    <t>gm. Lubiszyn</t>
  </si>
  <si>
    <t>gm. Santok</t>
  </si>
  <si>
    <t>gm. Witnica</t>
  </si>
  <si>
    <t>m. Gubin</t>
  </si>
  <si>
    <t>gm. Bobrowice</t>
  </si>
  <si>
    <t>gm. Bytnica</t>
  </si>
  <si>
    <t>gm. Dąbie</t>
  </si>
  <si>
    <t>gm. Gubin</t>
  </si>
  <si>
    <t>gm. Krosno Odrzańskie</t>
  </si>
  <si>
    <t>gm. Maszewo</t>
  </si>
  <si>
    <t>gm. Bledzew</t>
  </si>
  <si>
    <t>gm. Międzyrzecz</t>
  </si>
  <si>
    <t>gm. Przytoczna</t>
  </si>
  <si>
    <t>gm. Pszczew</t>
  </si>
  <si>
    <t>gm. Skwierzyna</t>
  </si>
  <si>
    <t>gm. Trzciel</t>
  </si>
  <si>
    <t>m. Nowa Sól</t>
  </si>
  <si>
    <t>gm. Bytom Odrzański</t>
  </si>
  <si>
    <t>gm. Kolsko</t>
  </si>
  <si>
    <t>gm. Kożuchów</t>
  </si>
  <si>
    <t>gm. Nowa Sól</t>
  </si>
  <si>
    <t>gm. Nowe Miasteczko</t>
  </si>
  <si>
    <t>gm. Otyń</t>
  </si>
  <si>
    <t>gm. Siedlisko</t>
  </si>
  <si>
    <t>gm. Cybinka</t>
  </si>
  <si>
    <t>gm. Górzyca</t>
  </si>
  <si>
    <t>gm. Ośno Lubuskie</t>
  </si>
  <si>
    <t>gm. Rzepin</t>
  </si>
  <si>
    <t>gm. Słubice</t>
  </si>
  <si>
    <t>gm. Dobiegniew</t>
  </si>
  <si>
    <t>gm. Drezdenko</t>
  </si>
  <si>
    <t>gm. Stare Kurowo</t>
  </si>
  <si>
    <t>gm. Strzelce Krajeńskie</t>
  </si>
  <si>
    <t>gm. Zwierzyn</t>
  </si>
  <si>
    <t>gm. Krzeszyce</t>
  </si>
  <si>
    <t>gm. Lubniewice</t>
  </si>
  <si>
    <t>gm. Słońsk</t>
  </si>
  <si>
    <t>gm. Sulęcin</t>
  </si>
  <si>
    <t>gm. Torzym</t>
  </si>
  <si>
    <t>gm. Lubrza</t>
  </si>
  <si>
    <t>gm. Łagów</t>
  </si>
  <si>
    <t>gm. Skąpe</t>
  </si>
  <si>
    <t>gm. Szczaniec</t>
  </si>
  <si>
    <t>gm. Świebodzin</t>
  </si>
  <si>
    <t>gm. Zbąszynek</t>
  </si>
  <si>
    <t>gm. Babimost</t>
  </si>
  <si>
    <t>gm. Bojadła</t>
  </si>
  <si>
    <t>gm. Czerwieńsk</t>
  </si>
  <si>
    <t>gm. Kargowa</t>
  </si>
  <si>
    <t>gm. Nowogród Bobrzański</t>
  </si>
  <si>
    <t>gm. Sulechów</t>
  </si>
  <si>
    <t>gm. Trzebiechów</t>
  </si>
  <si>
    <t>gm. Zabór</t>
  </si>
  <si>
    <t>m. Gozdnica</t>
  </si>
  <si>
    <t>m. Żagań</t>
  </si>
  <si>
    <t>gm. Brzeźnica</t>
  </si>
  <si>
    <t>gm. Iłowa</t>
  </si>
  <si>
    <t>gm. Małomice</t>
  </si>
  <si>
    <t>gm. Niegosławice</t>
  </si>
  <si>
    <t>gm. Szprotawa</t>
  </si>
  <si>
    <t>gm. Wymiarki</t>
  </si>
  <si>
    <t>gm. Żagań</t>
  </si>
  <si>
    <t>m. Łęknica</t>
  </si>
  <si>
    <t>m. Żary</t>
  </si>
  <si>
    <t>gm. Brody</t>
  </si>
  <si>
    <t>gm. Jasień</t>
  </si>
  <si>
    <t>gm. Lipinki Łużyckie</t>
  </si>
  <si>
    <t>gm. Lubsko</t>
  </si>
  <si>
    <t>gm. Przewóz</t>
  </si>
  <si>
    <t>gm. Trzebiel</t>
  </si>
  <si>
    <t>gm. Tuplice</t>
  </si>
  <si>
    <t>gm. Żary</t>
  </si>
  <si>
    <t>gm. Sława</t>
  </si>
  <si>
    <t>gm. Szlichtyngowa</t>
  </si>
  <si>
    <t>gm. Wschowa</t>
  </si>
  <si>
    <t>m. Gorzów Wielkopolski</t>
  </si>
  <si>
    <t>m. Zielona Góra</t>
  </si>
  <si>
    <t>łódzkie</t>
  </si>
  <si>
    <t>m. Bełchatów</t>
  </si>
  <si>
    <t>gm. Bełchatów</t>
  </si>
  <si>
    <t>gm. Drużbice</t>
  </si>
  <si>
    <t>gm. Kleszczów</t>
  </si>
  <si>
    <t>gm. Kluki</t>
  </si>
  <si>
    <t>gm. Rusiec</t>
  </si>
  <si>
    <t>gm. Szczerców</t>
  </si>
  <si>
    <t>gm. Zelów</t>
  </si>
  <si>
    <t>m. Kutno</t>
  </si>
  <si>
    <t>gm. Bedlno</t>
  </si>
  <si>
    <t>gm. Dąbrowice</t>
  </si>
  <si>
    <t>gm. Krośniewice</t>
  </si>
  <si>
    <t>gm. Krzyżanów</t>
  </si>
  <si>
    <t>gm. Kutno</t>
  </si>
  <si>
    <t>gm. Łanięta</t>
  </si>
  <si>
    <t>gm. Nowe Ostrowy</t>
  </si>
  <si>
    <t>gm. Oporów</t>
  </si>
  <si>
    <t>gm. Strzelce</t>
  </si>
  <si>
    <t>gm. Żychlin</t>
  </si>
  <si>
    <t>gm. Buczek</t>
  </si>
  <si>
    <t>gm. Łask</t>
  </si>
  <si>
    <t>gm. Sędziejowice</t>
  </si>
  <si>
    <t>gm. Widawa</t>
  </si>
  <si>
    <t>gm. Wodzierady</t>
  </si>
  <si>
    <t>m. Łęczyca</t>
  </si>
  <si>
    <t>gm. Daszyna</t>
  </si>
  <si>
    <t>gm. Góra Świętej Małgorzaty</t>
  </si>
  <si>
    <t>gm. Grabów</t>
  </si>
  <si>
    <t>gm. Łęczyca</t>
  </si>
  <si>
    <t>gm. Piątek</t>
  </si>
  <si>
    <t>gm. Świnice Warckie</t>
  </si>
  <si>
    <t>gm. Witonia</t>
  </si>
  <si>
    <t>m. Łowicz</t>
  </si>
  <si>
    <t>gm. Bielawy</t>
  </si>
  <si>
    <t>gm. Chąśno</t>
  </si>
  <si>
    <t>gm. Domaniewice</t>
  </si>
  <si>
    <t>gm. Kiernozia</t>
  </si>
  <si>
    <t>gm. Kocierzew Południowy</t>
  </si>
  <si>
    <t>gm. Łowicz</t>
  </si>
  <si>
    <t>gm. Łyszkowice</t>
  </si>
  <si>
    <t>gm. Nieborów</t>
  </si>
  <si>
    <t>gm. Zduny</t>
  </si>
  <si>
    <t>gm. Andrespol</t>
  </si>
  <si>
    <t>gm. Brójce</t>
  </si>
  <si>
    <t>gm. Koluszki</t>
  </si>
  <si>
    <t>gm. Nowosolna</t>
  </si>
  <si>
    <t>gm. Rzgów</t>
  </si>
  <si>
    <t>gm. Tuszyn</t>
  </si>
  <si>
    <t>gm. Białaczów</t>
  </si>
  <si>
    <t>gm. Drzewica</t>
  </si>
  <si>
    <t>gm. Mniszków</t>
  </si>
  <si>
    <t>gm. Opoczno</t>
  </si>
  <si>
    <t>gm. Paradyż</t>
  </si>
  <si>
    <t>gm. Poświętne</t>
  </si>
  <si>
    <t>gm. Sławno</t>
  </si>
  <si>
    <t>gm. Żarnów</t>
  </si>
  <si>
    <t>m. Konstantynów Łódzki</t>
  </si>
  <si>
    <t>m. Pabianice</t>
  </si>
  <si>
    <t>gm. Dłutów</t>
  </si>
  <si>
    <t>gm. Dobroń</t>
  </si>
  <si>
    <t>gm. Ksawerów</t>
  </si>
  <si>
    <t>gm. Lutomiersk</t>
  </si>
  <si>
    <t>gm. Pabianice</t>
  </si>
  <si>
    <t>gm. Działoszyn</t>
  </si>
  <si>
    <t>gm. Kiełczygłów</t>
  </si>
  <si>
    <t>gm. Nowa Brzeźnica</t>
  </si>
  <si>
    <t>gm. Pajęczno</t>
  </si>
  <si>
    <t>gm. Rząśnia</t>
  </si>
  <si>
    <t>gm. Siemkowice</t>
  </si>
  <si>
    <t>gm. Strzelce Wielkie</t>
  </si>
  <si>
    <t>gm. Sulmierzyce</t>
  </si>
  <si>
    <t>gm. Czarnocin</t>
  </si>
  <si>
    <t>gm. Gorzkowice</t>
  </si>
  <si>
    <t>gm. Grabica</t>
  </si>
  <si>
    <t>gm. Łęki Szlacheckie</t>
  </si>
  <si>
    <t>gm. Moszczenica</t>
  </si>
  <si>
    <t>gm. Ręczno</t>
  </si>
  <si>
    <t>gm. Rozprza</t>
  </si>
  <si>
    <t>gm. Sulejów</t>
  </si>
  <si>
    <t>gm. Wola Krzysztoporska</t>
  </si>
  <si>
    <t>gm. Wolbórz</t>
  </si>
  <si>
    <t>gm. Dalików</t>
  </si>
  <si>
    <t>gm. Pęczniew</t>
  </si>
  <si>
    <t>gm. Poddębice</t>
  </si>
  <si>
    <t>gm. Uniejów</t>
  </si>
  <si>
    <t>gm. Wartkowice</t>
  </si>
  <si>
    <t>gm. Zadzim</t>
  </si>
  <si>
    <t>m. Radomsko</t>
  </si>
  <si>
    <t>gm. Dobryszyce</t>
  </si>
  <si>
    <t>gm. Gidle</t>
  </si>
  <si>
    <t>gm. Gomunice</t>
  </si>
  <si>
    <t>gm. Kamieńsk</t>
  </si>
  <si>
    <t>gm. Kobiele Wielkie</t>
  </si>
  <si>
    <t>gm. Kodrąb</t>
  </si>
  <si>
    <t>gm. Lgota Wielka</t>
  </si>
  <si>
    <t>gm. Ładzice</t>
  </si>
  <si>
    <t>gm. Masłowice</t>
  </si>
  <si>
    <t>gm. Przedbórz</t>
  </si>
  <si>
    <t>gm. Radomsko</t>
  </si>
  <si>
    <t>gm. Wielgomłyny</t>
  </si>
  <si>
    <t>gm. Żytno</t>
  </si>
  <si>
    <t>m. Rawa Mazowiecka</t>
  </si>
  <si>
    <t>gm. Biała Rawska</t>
  </si>
  <si>
    <t>gm. Cielądz</t>
  </si>
  <si>
    <t>gm. Rawa Mazowiecka</t>
  </si>
  <si>
    <t>gm. Regnów</t>
  </si>
  <si>
    <t>gm. Sadkowice</t>
  </si>
  <si>
    <t>m. Sieradz</t>
  </si>
  <si>
    <t>gm. Błaszki</t>
  </si>
  <si>
    <t>gm. Brąszewice</t>
  </si>
  <si>
    <t>gm. Brzeźnio</t>
  </si>
  <si>
    <t>gm. Burzenin</t>
  </si>
  <si>
    <t>gm. Goszczanów</t>
  </si>
  <si>
    <t>gm. Klonowa</t>
  </si>
  <si>
    <t>gm. Sieradz</t>
  </si>
  <si>
    <t>gm. Warta</t>
  </si>
  <si>
    <t>gm. Wróblew</t>
  </si>
  <si>
    <t>gm. Złoczew</t>
  </si>
  <si>
    <t>gm. Bolimów</t>
  </si>
  <si>
    <t>gm. Głuchów</t>
  </si>
  <si>
    <t>gm. Godzianów</t>
  </si>
  <si>
    <t>gm. Kowiesy</t>
  </si>
  <si>
    <t>gm. Lipce Reymontowskie</t>
  </si>
  <si>
    <t>gm. Maków</t>
  </si>
  <si>
    <t>gm. Nowy Kawęczyn</t>
  </si>
  <si>
    <t>gm. Skierniewice</t>
  </si>
  <si>
    <t>gm. Słupia</t>
  </si>
  <si>
    <t>m. Tomaszów Mazowiecki</t>
  </si>
  <si>
    <t>gm. Będków</t>
  </si>
  <si>
    <t>gm. Budziszewice</t>
  </si>
  <si>
    <t>gm. Czerniewice</t>
  </si>
  <si>
    <t>gm. Inowłódz</t>
  </si>
  <si>
    <t>gm. Lubochnia</t>
  </si>
  <si>
    <t>gm. Rokiciny</t>
  </si>
  <si>
    <t>gm. Rzeczyca</t>
  </si>
  <si>
    <t>gm. Tomaszów Mazowiecki</t>
  </si>
  <si>
    <t>gm. Ujazd</t>
  </si>
  <si>
    <t>gm. Żelechlinek</t>
  </si>
  <si>
    <t>gm. Biała</t>
  </si>
  <si>
    <t>gm. Czarnożyły</t>
  </si>
  <si>
    <t>gm. Mokrsko</t>
  </si>
  <si>
    <t>gm. Osjaków</t>
  </si>
  <si>
    <t>gm. Pątnów</t>
  </si>
  <si>
    <t>gm. Skomlin</t>
  </si>
  <si>
    <t>gm. Wieluń</t>
  </si>
  <si>
    <t>gm. Wierzchlas</t>
  </si>
  <si>
    <t>gm. Czastary</t>
  </si>
  <si>
    <t>gm. Galewice</t>
  </si>
  <si>
    <t>gm. Lututów</t>
  </si>
  <si>
    <t>gm. Łubnice</t>
  </si>
  <si>
    <t>gm. Sokolniki</t>
  </si>
  <si>
    <t>gm. Wieruszów</t>
  </si>
  <si>
    <t>m. Zduńska Wola</t>
  </si>
  <si>
    <t>gm. Szadek</t>
  </si>
  <si>
    <t>gm. Zapolice</t>
  </si>
  <si>
    <t>gm. Zduńska Wola</t>
  </si>
  <si>
    <t>m. Głowno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</si>
  <si>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</si>
  <si>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</si>
  <si>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</si>
  <si>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</si>
  <si>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</si>
  <si>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</si>
  <si>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</si>
  <si>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</si>
  <si>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m. Brzeziny</t>
  </si>
  <si>
    <t>gm. Brzeziny</t>
  </si>
  <si>
    <t>gm. Dmosin</t>
  </si>
  <si>
    <t>gm. Jeżów</t>
  </si>
  <si>
    <t>gm. Rogów</t>
  </si>
  <si>
    <t>m. Łódź</t>
  </si>
  <si>
    <t>m. Piotrków Trybunalski</t>
  </si>
  <si>
    <t>m. Skierniewice</t>
  </si>
  <si>
    <t>małopolskie</t>
  </si>
  <si>
    <t>m. Bochnia</t>
  </si>
  <si>
    <t>gm. Bochnia</t>
  </si>
  <si>
    <t>gm. Drwinia</t>
  </si>
  <si>
    <t>gm. Lipnica Murowana</t>
  </si>
  <si>
    <t>gm. Łapanów</t>
  </si>
  <si>
    <t>gm. Nowy Wiśnicz</t>
  </si>
  <si>
    <t>gm. Rzezawa</t>
  </si>
  <si>
    <t>gm. Trzciana</t>
  </si>
  <si>
    <t>gm. Żegocina</t>
  </si>
  <si>
    <t>gm. Borzęcin</t>
  </si>
  <si>
    <t>gm. Brzesko</t>
  </si>
  <si>
    <t>gm. Czchów</t>
  </si>
  <si>
    <t>gm. Dębno</t>
  </si>
  <si>
    <t>gm. Gnojnik</t>
  </si>
  <si>
    <t>gm. Iwkowa</t>
  </si>
  <si>
    <t>gm. Szczurowa</t>
  </si>
  <si>
    <t>gm. Alwernia</t>
  </si>
  <si>
    <t>gm. Babice</t>
  </si>
  <si>
    <t>gm. Libiąż</t>
  </si>
  <si>
    <t>gm. Trzebinia</t>
  </si>
  <si>
    <t>gm. Bolesław</t>
  </si>
  <si>
    <t>gm. Dąbrowa Tarnowska</t>
  </si>
  <si>
    <t>gm. Gręboszów</t>
  </si>
  <si>
    <t>gm. Mędrzechów</t>
  </si>
  <si>
    <t>gm. Olesno</t>
  </si>
  <si>
    <t>gm. Radgoszcz</t>
  </si>
  <si>
    <t>gm. Szczucin</t>
  </si>
  <si>
    <t>m. Gorlice</t>
  </si>
  <si>
    <t>gm. Biecz</t>
  </si>
  <si>
    <t>gm. Bobowa</t>
  </si>
  <si>
    <t>gm. Gorlice</t>
  </si>
  <si>
    <t>gm. Lipinki</t>
  </si>
  <si>
    <t>gm. Łużna</t>
  </si>
  <si>
    <t>gm. Ropa</t>
  </si>
  <si>
    <t>gm. Sękowa</t>
  </si>
  <si>
    <t>gm. Uście Gorlickie</t>
  </si>
  <si>
    <t>gm. Czernichów</t>
  </si>
  <si>
    <t>gm. Igołomia-Wawrzeńczyce</t>
  </si>
  <si>
    <t>gm. Iwanowice</t>
  </si>
  <si>
    <t>gm. Jerzmanowice-Przeginia</t>
  </si>
  <si>
    <t>gm. Kocmyrzów-Luborzyca</t>
  </si>
  <si>
    <t>gm. Krzeszowice</t>
  </si>
  <si>
    <t>gm. Liszki</t>
  </si>
  <si>
    <t>gm. Michałowice</t>
  </si>
  <si>
    <t>gm. Mogilany</t>
  </si>
  <si>
    <t>gm. Skała</t>
  </si>
  <si>
    <t>gm. Skawina</t>
  </si>
  <si>
    <t>gm. Słomniki</t>
  </si>
  <si>
    <t>gm. Sułoszowa</t>
  </si>
  <si>
    <t>gm. Świątniki Górne</t>
  </si>
  <si>
    <t>gm. Wielka Wieś</t>
  </si>
  <si>
    <t>gm. Zabierzów</t>
  </si>
  <si>
    <t>gm. Zielonki</t>
  </si>
  <si>
    <t>m. Limanowa</t>
  </si>
  <si>
    <t>m. Mszana Dolna</t>
  </si>
  <si>
    <t>gm. Dobra</t>
  </si>
  <si>
    <t>gm. Jodłownik</t>
  </si>
  <si>
    <t>gm. Kamienica</t>
  </si>
  <si>
    <t>gm. Laskowa</t>
  </si>
  <si>
    <t>gm. Limanowa</t>
  </si>
  <si>
    <t>gm. Łukowica</t>
  </si>
  <si>
    <t>gm. Mszana Dolna</t>
  </si>
  <si>
    <t>gm. Niedźwiedź</t>
  </si>
  <si>
    <t>gm. Słopnice</t>
  </si>
  <si>
    <t>gm. Tymbark</t>
  </si>
  <si>
    <t>gm. Charsznica</t>
  </si>
  <si>
    <t>gm. Gołcza</t>
  </si>
  <si>
    <t>gm. Kozłów</t>
  </si>
  <si>
    <t>gm. Książ Wielki</t>
  </si>
  <si>
    <t>gm. Miechów</t>
  </si>
  <si>
    <t>gm. Racławice</t>
  </si>
  <si>
    <t>gm. Słaboszów</t>
  </si>
  <si>
    <t>gm. Dobczyce</t>
  </si>
  <si>
    <t>gm. Lubień</t>
  </si>
  <si>
    <t>gm. Myślenice</t>
  </si>
  <si>
    <t>gm. Pcim</t>
  </si>
  <si>
    <t>gm. Raciechowice</t>
  </si>
  <si>
    <t>gm. Siepraw</t>
  </si>
  <si>
    <t>gm. Sułkowice</t>
  </si>
  <si>
    <t>gm. Tokarnia</t>
  </si>
  <si>
    <t>gm. Wiśniowa</t>
  </si>
  <si>
    <t>m. Grybów</t>
  </si>
  <si>
    <t>gm. Chełmiec</t>
  </si>
  <si>
    <t>gm. Gródek nad Dunajcem</t>
  </si>
  <si>
    <t>gm. Grybów</t>
  </si>
  <si>
    <t>gm. Kamionka Wielka</t>
  </si>
  <si>
    <t>gm. Korzenna</t>
  </si>
  <si>
    <t>gm. Krynica-Zdrój</t>
  </si>
  <si>
    <t>gm. Łabowa</t>
  </si>
  <si>
    <t>gm. Łącko</t>
  </si>
  <si>
    <t>gm. Łososina Dolna</t>
  </si>
  <si>
    <t>gm. Muszyna</t>
  </si>
  <si>
    <t>gm. Nawojowa</t>
  </si>
  <si>
    <t>gm. Piwniczna-Zdrój</t>
  </si>
  <si>
    <t>gm. Podegrodzie</t>
  </si>
  <si>
    <t>gm. Rytro</t>
  </si>
  <si>
    <t>gm. Stary Sącz</t>
  </si>
  <si>
    <t>m. Nowy Targ</t>
  </si>
  <si>
    <t>gm. Szczawnica</t>
  </si>
  <si>
    <t>gm. Czarny Dunajec</t>
  </si>
  <si>
    <t>gm. Czorsztyn</t>
  </si>
  <si>
    <t>gm. Jabłonka</t>
  </si>
  <si>
    <t>gm. Krościenko nad Dunajcem</t>
  </si>
  <si>
    <t>gm. Lipnica Wielka</t>
  </si>
  <si>
    <t>gm. Łapsze Niżne</t>
  </si>
  <si>
    <t>gm. Nowy Targ</t>
  </si>
  <si>
    <t>gm. Ochotnica Dolna</t>
  </si>
  <si>
    <t>gm. Raba Wyżna</t>
  </si>
  <si>
    <t>gm. Rabka-Zdrój</t>
  </si>
  <si>
    <t>gm. Spytkowice</t>
  </si>
  <si>
    <t>gm. Szaflary</t>
  </si>
  <si>
    <t>m. Bukowno</t>
  </si>
  <si>
    <t>gm. Klucze</t>
  </si>
  <si>
    <t>gm. Olkusz</t>
  </si>
  <si>
    <t>gm. Trzyciąż</t>
  </si>
  <si>
    <t>gm. Wolbrom</t>
  </si>
  <si>
    <t>m. Oświęcim</t>
  </si>
  <si>
    <t>gm. Brzeszcze</t>
  </si>
  <si>
    <t>gm. Chełmek</t>
  </si>
  <si>
    <t>gm. Kęty</t>
  </si>
  <si>
    <t>gm. Oświęcim</t>
  </si>
  <si>
    <t>gm. Polanka Wielka</t>
  </si>
  <si>
    <t>gm. Przeciszów</t>
  </si>
  <si>
    <t>gm. Zator</t>
  </si>
  <si>
    <t>gm. Koniusza</t>
  </si>
  <si>
    <t>gm. Koszyce</t>
  </si>
  <si>
    <t>gm. Nowe Brzesko</t>
  </si>
  <si>
    <t>gm. Pałecznica</t>
  </si>
  <si>
    <t>gm. Proszowice</t>
  </si>
  <si>
    <t>gm. Radziemice</t>
  </si>
  <si>
    <t>m. Jordanów</t>
  </si>
  <si>
    <t>m. Sucha Beskidzka</t>
  </si>
  <si>
    <t>gm. Budzów</t>
  </si>
  <si>
    <t>gm. Bystra-Sidzina</t>
  </si>
  <si>
    <t>gm. Jordanów</t>
  </si>
  <si>
    <t>gm. Maków Podhalański</t>
  </si>
  <si>
    <t>gm. Stryszawa</t>
  </si>
  <si>
    <t>gm. Zawoja</t>
  </si>
  <si>
    <t>gm. Zembrzyce</t>
  </si>
  <si>
    <t>gm. Ciężkowice</t>
  </si>
  <si>
    <t>gm. Gromnik</t>
  </si>
  <si>
    <t>gm. Lisia Góra</t>
  </si>
  <si>
    <t>gm. Pleśna</t>
  </si>
  <si>
    <t>gm. Radłów</t>
  </si>
  <si>
    <t>gm. Ryglice</t>
  </si>
  <si>
    <t>gm. Rzepiennik Strzyżewski</t>
  </si>
  <si>
    <t>gm. Skrzyszów</t>
  </si>
  <si>
    <t>gm. Tarnów</t>
  </si>
  <si>
    <t>gm. Tuchów</t>
  </si>
  <si>
    <t>gm. Wierzchosławice</t>
  </si>
  <si>
    <t>gm. Wietrzychowice</t>
  </si>
  <si>
    <t>gm. Wojnicz</t>
  </si>
  <si>
    <t>gm. Zakliczyn</t>
  </si>
  <si>
    <t>gm. Żabno</t>
  </si>
  <si>
    <t>gm. Szerzyny</t>
  </si>
  <si>
    <t>m. Zakopane</t>
  </si>
  <si>
    <t>gm. Biały Dunajec</t>
  </si>
  <si>
    <t>gm. Bukowina Tatrzańska</t>
  </si>
  <si>
    <t>gm. Kościelisko</t>
  </si>
  <si>
    <t>gm. Poronin</t>
  </si>
  <si>
    <t>gm. Andrychów</t>
  </si>
  <si>
    <t>gm. Kalwaria Zebrzydowska</t>
  </si>
  <si>
    <t>gm. Lanckorona</t>
  </si>
  <si>
    <t>gm. Mucharz</t>
  </si>
  <si>
    <t>gm. Stryszów</t>
  </si>
  <si>
    <t>gm. Tomice</t>
  </si>
  <si>
    <t>gm. Wadowice</t>
  </si>
  <si>
    <t>gm. Wieprz</t>
  </si>
  <si>
    <t>gm. Biskupice</t>
  </si>
  <si>
    <t>gm. Gdów</t>
  </si>
  <si>
    <t>gm. Kłaj</t>
  </si>
  <si>
    <t>gm. Niepołomice</t>
  </si>
  <si>
    <t>gm. Wieliczka</t>
  </si>
  <si>
    <t>m. Kraków</t>
  </si>
  <si>
    <t>m. Nowy Sącz</t>
  </si>
  <si>
    <t>m. Tarnów</t>
  </si>
  <si>
    <t>mazowieckie</t>
  </si>
  <si>
    <t>gm. Białobrzegi</t>
  </si>
  <si>
    <t>gm. Promna</t>
  </si>
  <si>
    <t>gm. Radzanów</t>
  </si>
  <si>
    <t>gm. Stara Błotnica</t>
  </si>
  <si>
    <t>gm. Stromiec</t>
  </si>
  <si>
    <t>gm. Wyśmierzyce</t>
  </si>
  <si>
    <t>m. Ciechanów</t>
  </si>
  <si>
    <t>gm. Ciechanów</t>
  </si>
  <si>
    <t>gm. Glinojeck</t>
  </si>
  <si>
    <t>gm. Gołymin-Ośrodek</t>
  </si>
  <si>
    <t>gm. Grudusk</t>
  </si>
  <si>
    <t>gm. Ojrzeń</t>
  </si>
  <si>
    <t>gm. Opinogóra Górna</t>
  </si>
  <si>
    <t>gm. Regimin</t>
  </si>
  <si>
    <t>gm. Sońsk</t>
  </si>
  <si>
    <t>m. Garwolin</t>
  </si>
  <si>
    <t>m. Łaskarzew</t>
  </si>
  <si>
    <t>gm. Borowie</t>
  </si>
  <si>
    <t>gm. Garwolin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</si>
  <si>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</si>
  <si>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</si>
  <si>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</si>
  <si>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</si>
  <si>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</si>
  <si>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</si>
  <si>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</si>
  <si>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</si>
  <si>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</si>
  <si>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m. Gostynin</t>
  </si>
  <si>
    <t>gm. Gostynin</t>
  </si>
  <si>
    <t>gm. Pacyna</t>
  </si>
  <si>
    <t>gm. Sanniki</t>
  </si>
  <si>
    <t>gm. Szczawin Kośc.</t>
  </si>
  <si>
    <t>m. Milanówek</t>
  </si>
  <si>
    <t>m. Podkowa Leśna</t>
  </si>
  <si>
    <t>gm. Grodzisk Mazowiecki</t>
  </si>
  <si>
    <t>gm. Jaktorów</t>
  </si>
  <si>
    <t>gm. Żabia Wola</t>
  </si>
  <si>
    <t>gm. Belsk Duży</t>
  </si>
  <si>
    <t>gm. Błędów</t>
  </si>
  <si>
    <t>gm. Chynów</t>
  </si>
  <si>
    <t>gm. Goszczyn</t>
  </si>
  <si>
    <t>gm. Grójec</t>
  </si>
  <si>
    <t>gm. Jasieniec</t>
  </si>
  <si>
    <t>gm. Mogielnica</t>
  </si>
  <si>
    <t>gm. Nowe Miasto nad Pilicą</t>
  </si>
  <si>
    <t>gm. Pniewy</t>
  </si>
  <si>
    <t>gm. Warka</t>
  </si>
  <si>
    <t>gm. Garbatka-Letnisko</t>
  </si>
  <si>
    <t>gm. Głowaczów</t>
  </si>
  <si>
    <t>gm. Gniewoszów</t>
  </si>
  <si>
    <t>gm. Grabów nad Pilicą</t>
  </si>
  <si>
    <t>gm. Kozienice</t>
  </si>
  <si>
    <t>gm. Magnuszew</t>
  </si>
  <si>
    <t>gm. Sieciechów</t>
  </si>
  <si>
    <t>m. Legionowo</t>
  </si>
  <si>
    <t>gm. Nieporęt</t>
  </si>
  <si>
    <t>gm. Serock</t>
  </si>
  <si>
    <t>gm. Wieliszew</t>
  </si>
  <si>
    <t>gm. Chotcza</t>
  </si>
  <si>
    <t>gm. Ciepielów</t>
  </si>
  <si>
    <t>gm. Lipsko</t>
  </si>
  <si>
    <t>gm. Rzeczniów</t>
  </si>
  <si>
    <t>gm. Sienno</t>
  </si>
  <si>
    <t>gm. Solec nad Wisłą</t>
  </si>
  <si>
    <t>gm. Huszlew</t>
  </si>
  <si>
    <t>gm. Łosice</t>
  </si>
  <si>
    <t>gm. Olszanka</t>
  </si>
  <si>
    <t>gm. Platerów</t>
  </si>
  <si>
    <t>gm. Sarnaki</t>
  </si>
  <si>
    <t>gm. Stara Kornica</t>
  </si>
  <si>
    <t>m. Maków Mazowiecki</t>
  </si>
  <si>
    <t>gm. Czerwonka</t>
  </si>
  <si>
    <t>gm. Karniewo</t>
  </si>
  <si>
    <t>gm. Krasnosielc</t>
  </si>
  <si>
    <t>gm. Młynarze</t>
  </si>
  <si>
    <t>gm. Płoniawy-Bramura</t>
  </si>
  <si>
    <t>gm. Różan</t>
  </si>
  <si>
    <t>gm. Rzewnie</t>
  </si>
  <si>
    <t>gm. Sypniewo</t>
  </si>
  <si>
    <t>gm. Szelków</t>
  </si>
  <si>
    <t>m. Mińsk Mazowiecki</t>
  </si>
  <si>
    <t>gm. Cegłów</t>
  </si>
  <si>
    <t>gm. Dębe Wielkie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</si>
  <si>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</si>
  <si>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</si>
  <si>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</si>
  <si>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</si>
  <si>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</si>
  <si>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</si>
  <si>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</si>
  <si>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</si>
  <si>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</si>
  <si>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m. Mława</t>
  </si>
  <si>
    <t>gm. Dzierzgowo</t>
  </si>
  <si>
    <t>gm. Lipowiec Kościelny</t>
  </si>
  <si>
    <t>gm. Strzegowo</t>
  </si>
  <si>
    <t>gm. Stupsk</t>
  </si>
  <si>
    <t>gm. Szreńsk</t>
  </si>
  <si>
    <t>gm. Szydłowo</t>
  </si>
  <si>
    <t>gm. Wieczfnia Kościelna</t>
  </si>
  <si>
    <t>gm. Wiśniewo</t>
  </si>
  <si>
    <t>m. Nowy Dwór Mazowiecki</t>
  </si>
  <si>
    <t>gm. Czosnów</t>
  </si>
  <si>
    <t>gm. Leoncin</t>
  </si>
  <si>
    <t>gm. Nasielsk</t>
  </si>
  <si>
    <t>gm. Pomiechówek</t>
  </si>
  <si>
    <t>gm. Zakroczym</t>
  </si>
  <si>
    <t>gm. Baranowo</t>
  </si>
  <si>
    <t>gm. Czarnia</t>
  </si>
  <si>
    <t>gm. Czerwin</t>
  </si>
  <si>
    <t>gm. Goworowo</t>
  </si>
  <si>
    <t>gm. Kadzidło</t>
  </si>
  <si>
    <t>gm. Lelis</t>
  </si>
  <si>
    <t>gm. Łyse</t>
  </si>
  <si>
    <t>gm. Myszyniec</t>
  </si>
  <si>
    <t>gm. Olszewo-Borki</t>
  </si>
  <si>
    <t>gm. Rzekuń</t>
  </si>
  <si>
    <t>gm. Troszyn</t>
  </si>
  <si>
    <t>m. Ostrów Mazowiecka</t>
  </si>
  <si>
    <t>gm. Andrzejewo</t>
  </si>
  <si>
    <t>gm. Boguty-Pianki</t>
  </si>
  <si>
    <t>gm. Brok</t>
  </si>
  <si>
    <t>gm. Małkinia Górna</t>
  </si>
  <si>
    <t>gm. Nur</t>
  </si>
  <si>
    <t>gm. Ostrów Mazowiecka</t>
  </si>
  <si>
    <t>gm. Stary Lubotyń</t>
  </si>
  <si>
    <t>gm. Szulborze Wielkie</t>
  </si>
  <si>
    <t>gm. Wąsewo</t>
  </si>
  <si>
    <t>gm. Zaręby Kościelne</t>
  </si>
  <si>
    <t>m. Józefów</t>
  </si>
  <si>
    <t>m. Otwock</t>
  </si>
  <si>
    <t>gm. Celestynów</t>
  </si>
  <si>
    <t>gm. Karczew</t>
  </si>
  <si>
    <t>gm. Kołbiel</t>
  </si>
  <si>
    <t>gm. Osieck</t>
  </si>
  <si>
    <t>gm. Sobienie-Jeziory</t>
  </si>
  <si>
    <t>gm. Wiązowna</t>
  </si>
  <si>
    <t>gm. Góra Kalwaria</t>
  </si>
  <si>
    <t>gm. Konstancin-Jeziorna</t>
  </si>
  <si>
    <t>gm. Lesznowola</t>
  </si>
  <si>
    <t>gm. Piaseczno</t>
  </si>
  <si>
    <t>gm. Prażmów</t>
  </si>
  <si>
    <t>gm. Tarczyn</t>
  </si>
  <si>
    <t>gm. Bielsk</t>
  </si>
  <si>
    <t>gm. Bodzanów</t>
  </si>
  <si>
    <t>gm. Brudzeń Duży</t>
  </si>
  <si>
    <t>gm. Bulkowo</t>
  </si>
  <si>
    <t>gm. Drobin</t>
  </si>
  <si>
    <t>gm. Gąbin</t>
  </si>
  <si>
    <t>gm. Łąck</t>
  </si>
  <si>
    <t>gm. Mała Wieś</t>
  </si>
  <si>
    <t>gm. Nowy Duninów</t>
  </si>
  <si>
    <t>gm. Radzanowo</t>
  </si>
  <si>
    <t>gm. Słupno</t>
  </si>
  <si>
    <t>gm. Stara Biała</t>
  </si>
  <si>
    <t>gm. Staroźreby</t>
  </si>
  <si>
    <t>gm. Wyszogród</t>
  </si>
  <si>
    <t>m. Płońsk</t>
  </si>
  <si>
    <t>m. Raciąż</t>
  </si>
  <si>
    <t>gm. Baboszewo</t>
  </si>
  <si>
    <t>gm. Czerwińsk nad Wisłą</t>
  </si>
  <si>
    <t>gm. Dzierzążnia</t>
  </si>
  <si>
    <t>gm. Joniec</t>
  </si>
  <si>
    <t>gm. Naruszewo</t>
  </si>
  <si>
    <t>gm. Nowe Miasto</t>
  </si>
  <si>
    <t>gm. Płońsk</t>
  </si>
  <si>
    <t>gm. Raciąż</t>
  </si>
  <si>
    <t>gm. Sochocin</t>
  </si>
  <si>
    <t>gm. Załuski</t>
  </si>
  <si>
    <t>m. Piastów</t>
  </si>
  <si>
    <t>m. Pruszków</t>
  </si>
  <si>
    <t>gm. Brwinów</t>
  </si>
  <si>
    <t>gm. Nadarzyn</t>
  </si>
  <si>
    <t>gm. Raszyn</t>
  </si>
  <si>
    <t>m. Przasnysz</t>
  </si>
  <si>
    <t>gm. Chorzele</t>
  </si>
  <si>
    <t>gm. Czernice Borowe</t>
  </si>
  <si>
    <t>gm. Jednorożec</t>
  </si>
  <si>
    <t>gm. Krasne</t>
  </si>
  <si>
    <t>gm. Krzynowłoga Mała</t>
  </si>
  <si>
    <t>gm. Przasnysz</t>
  </si>
  <si>
    <t>gm. Borkowice</t>
  </si>
  <si>
    <t>gm. Gielniów</t>
  </si>
  <si>
    <t>gm. Klwów</t>
  </si>
  <si>
    <t>gm. Odrzywół</t>
  </si>
  <si>
    <t>gm. Potworów</t>
  </si>
  <si>
    <t>gm. Przysucha</t>
  </si>
  <si>
    <t>gm. Rusinów</t>
  </si>
  <si>
    <t>gm. Wieniawa</t>
  </si>
  <si>
    <t>gm. Gzy</t>
  </si>
  <si>
    <t>gm. Obryte</t>
  </si>
  <si>
    <t>gm. Pokrzywnica</t>
  </si>
  <si>
    <t>gm. Pułtusk</t>
  </si>
  <si>
    <t>gm. Świercze</t>
  </si>
  <si>
    <t>gm. Winnica</t>
  </si>
  <si>
    <t>gm. Zatory</t>
  </si>
  <si>
    <t>m. Pionki</t>
  </si>
  <si>
    <t>gm. Gózd</t>
  </si>
  <si>
    <t>gm. Iłża</t>
  </si>
  <si>
    <t>gm. Jastrzębia</t>
  </si>
  <si>
    <t>gm. Jedlińsk</t>
  </si>
  <si>
    <t>gm. Jedlnia-Letnisko</t>
  </si>
  <si>
    <t>gm. Kowala</t>
  </si>
  <si>
    <t>gm. Pionki</t>
  </si>
  <si>
    <t>gm. Przytyk</t>
  </si>
  <si>
    <t>gm. Skaryszew</t>
  </si>
  <si>
    <t>gm. Wolanów</t>
  </si>
  <si>
    <t>gm. Domanice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</si>
  <si>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</si>
  <si>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</si>
  <si>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</si>
  <si>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</si>
  <si>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</si>
  <si>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</si>
  <si>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</si>
  <si>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</si>
  <si>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</si>
  <si>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</si>
  <si>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</si>
  <si>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</si>
  <si>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m. Sierpc</t>
  </si>
  <si>
    <t>gm. Gozdowo</t>
  </si>
  <si>
    <t>gm. Mochowo</t>
  </si>
  <si>
    <t>gm. Rościszewo</t>
  </si>
  <si>
    <t>gm. Sierpc</t>
  </si>
  <si>
    <t>gm. Szczutowo</t>
  </si>
  <si>
    <t>gm. Zawidz</t>
  </si>
  <si>
    <t>m. Sochaczew</t>
  </si>
  <si>
    <t>gm. Brochów</t>
  </si>
  <si>
    <t>gm. Iłów</t>
  </si>
  <si>
    <t>gm. Młodzieszyn</t>
  </si>
  <si>
    <t>gm. Nowa Sucha</t>
  </si>
  <si>
    <t>gm. Rybno</t>
  </si>
  <si>
    <t>gm. Sochaczew</t>
  </si>
  <si>
    <t>gm. Teresin</t>
  </si>
  <si>
    <t>m. Sokołów Podlaski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</si>
  <si>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</si>
  <si>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</si>
  <si>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</si>
  <si>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</si>
  <si>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</si>
  <si>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</si>
  <si>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</si>
  <si>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</si>
  <si>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gm. Chlewiska</t>
  </si>
  <si>
    <t>gm. Jastrząb</t>
  </si>
  <si>
    <t>gm. Mirów</t>
  </si>
  <si>
    <t>gm. Orońsko</t>
  </si>
  <si>
    <t>gm. Szydłowiec</t>
  </si>
  <si>
    <t>gm. Błonie</t>
  </si>
  <si>
    <t>gm. Izabelin</t>
  </si>
  <si>
    <t>gm. Kampinos</t>
  </si>
  <si>
    <t>gm. Leszno</t>
  </si>
  <si>
    <t>gm. Łomianki</t>
  </si>
  <si>
    <t>gm. Ożarów Mazowiecki</t>
  </si>
  <si>
    <t>gm. Stare Babice</t>
  </si>
  <si>
    <t>m. Węgrów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</si>
  <si>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</si>
  <si>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</si>
  <si>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</si>
  <si>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</si>
  <si>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</si>
  <si>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</si>
  <si>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</si>
  <si>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</si>
  <si>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m. Kobyłka</t>
  </si>
  <si>
    <t>m. Marki</t>
  </si>
  <si>
    <t>m. Ząbki</t>
  </si>
  <si>
    <t>m. Zielonka</t>
  </si>
  <si>
    <t>gm. Dąbrówka</t>
  </si>
  <si>
    <t>gm. Jadów</t>
  </si>
  <si>
    <t>gm. Klembów</t>
  </si>
  <si>
    <t>gm. Radzymin</t>
  </si>
  <si>
    <t>gm. Strachówka</t>
  </si>
  <si>
    <t>gm. Tłuszcz</t>
  </si>
  <si>
    <t>gm. Wołomin</t>
  </si>
  <si>
    <t>gm. Brańszczyk</t>
  </si>
  <si>
    <t>gm. Długosiodło</t>
  </si>
  <si>
    <t>gm. Rząśnik</t>
  </si>
  <si>
    <t>gm. Somianka</t>
  </si>
  <si>
    <t>gm. Wyszków</t>
  </si>
  <si>
    <t>gm. Zabrodzie</t>
  </si>
  <si>
    <t>gm. Kazanów</t>
  </si>
  <si>
    <t>gm. Policzna</t>
  </si>
  <si>
    <t>gm. Przyłęk</t>
  </si>
  <si>
    <t>gm. Tczów</t>
  </si>
  <si>
    <t>gm. Zwoleń</t>
  </si>
  <si>
    <t>gm. Bieżuń</t>
  </si>
  <si>
    <t>gm. Kuczbork-Osada</t>
  </si>
  <si>
    <t>gm. Lubowidz</t>
  </si>
  <si>
    <t>gm. Lutocin</t>
  </si>
  <si>
    <t>gm. Siemiątkowo</t>
  </si>
  <si>
    <t>gm. Żuromin</t>
  </si>
  <si>
    <t>m. Żyrardów</t>
  </si>
  <si>
    <t>gm. Mszczonów</t>
  </si>
  <si>
    <t>gm. Puszcza Mariańska</t>
  </si>
  <si>
    <t>gm. Radziejowice</t>
  </si>
  <si>
    <t>gm. Wiskitki</t>
  </si>
  <si>
    <t>m. Ostrołęka</t>
  </si>
  <si>
    <t>m. Płock</t>
  </si>
  <si>
    <t>m. Radom</t>
  </si>
  <si>
    <t>m. Siedlce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</si>
  <si>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</si>
  <si>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</si>
  <si>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</si>
  <si>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</si>
  <si>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</si>
  <si>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</si>
  <si>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</si>
  <si>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</si>
  <si>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</si>
  <si>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</si>
  <si>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</si>
  <si>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</si>
  <si>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</si>
  <si>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</si>
  <si>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</si>
  <si>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</si>
  <si>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</si>
  <si>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</si>
  <si>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opolskie</t>
  </si>
  <si>
    <t>m. Brzeg</t>
  </si>
  <si>
    <t>gm. Skarbimierz</t>
  </si>
  <si>
    <t>gm. Grodków</t>
  </si>
  <si>
    <t>gm. Lewin Brzeski</t>
  </si>
  <si>
    <t>gm. Lubsza</t>
  </si>
  <si>
    <t>gm. Baborów</t>
  </si>
  <si>
    <t>gm. Branice</t>
  </si>
  <si>
    <t>gm. Głubczyce</t>
  </si>
  <si>
    <t>gm. Kietrz</t>
  </si>
  <si>
    <t>m. Kędzierzyn-Koźle</t>
  </si>
  <si>
    <t>gm. Bierawa</t>
  </si>
  <si>
    <t>gm. Cisek</t>
  </si>
  <si>
    <t>gm. Pawłowiczki</t>
  </si>
  <si>
    <t>gm. Polska Cerekiew</t>
  </si>
  <si>
    <t>gm. Reńska Wieś</t>
  </si>
  <si>
    <t>gm. Byczyna</t>
  </si>
  <si>
    <t>gm. Kluczbork</t>
  </si>
  <si>
    <t>gm. Lasowice Wielkie</t>
  </si>
  <si>
    <t>gm. Wołczyn</t>
  </si>
  <si>
    <t>gm. Gogolin</t>
  </si>
  <si>
    <t>gm. Krapkowice</t>
  </si>
  <si>
    <t>gm. Strzeleczki</t>
  </si>
  <si>
    <t>gm. Walce</t>
  </si>
  <si>
    <t>gm. Zdzieszowice</t>
  </si>
  <si>
    <t>gm. Domaszowice</t>
  </si>
  <si>
    <t>gm. Namysłów</t>
  </si>
  <si>
    <t>gm. Pokój</t>
  </si>
  <si>
    <t>gm. Świerczów</t>
  </si>
  <si>
    <t>gm. Głuchołazy</t>
  </si>
  <si>
    <t>gm. Kamiennik</t>
  </si>
  <si>
    <t>gm. Korfantów</t>
  </si>
  <si>
    <t>gm. Łambinowice</t>
  </si>
  <si>
    <t>gm. Nysa</t>
  </si>
  <si>
    <t>gm. Otmuchów</t>
  </si>
  <si>
    <t>gm. Paczków</t>
  </si>
  <si>
    <t>gm. Pakosławice</t>
  </si>
  <si>
    <t>gm. Skoroszyce</t>
  </si>
  <si>
    <t>gm. Dobrodzień</t>
  </si>
  <si>
    <t>gm. Gorzów Śląski</t>
  </si>
  <si>
    <t>gm. Praszka</t>
  </si>
  <si>
    <t>gm. Rudniki</t>
  </si>
  <si>
    <t>gm. Zębowice</t>
  </si>
  <si>
    <t>gm. Chrząstowice</t>
  </si>
  <si>
    <t>gm. Dobrzeń Wielki</t>
  </si>
  <si>
    <t>gm. Komprachcice</t>
  </si>
  <si>
    <t>gm. Łubniany</t>
  </si>
  <si>
    <t>gm. Murów</t>
  </si>
  <si>
    <t>gm. Niemodlin</t>
  </si>
  <si>
    <t>gm. Ozimek</t>
  </si>
  <si>
    <t>gm. Popielów</t>
  </si>
  <si>
    <t>gm. Prószków</t>
  </si>
  <si>
    <t>gm. Tarnów Opolski</t>
  </si>
  <si>
    <t>gm. Tułowice</t>
  </si>
  <si>
    <t>gm. Turawa</t>
  </si>
  <si>
    <t>gm. Głogówek</t>
  </si>
  <si>
    <t>gm. Prudnik</t>
  </si>
  <si>
    <t>gm. Izbicko</t>
  </si>
  <si>
    <t>gm. Jemielnica</t>
  </si>
  <si>
    <t>gm. Kolonowskie</t>
  </si>
  <si>
    <t>gm. Leśnica</t>
  </si>
  <si>
    <t>gm. Strzelce Opolskie</t>
  </si>
  <si>
    <t>gm. Zawadzkie</t>
  </si>
  <si>
    <t>m. Opole</t>
  </si>
  <si>
    <t>podkarpackie</t>
  </si>
  <si>
    <t>gm. Czarna</t>
  </si>
  <si>
    <t>gm. Lutowiska</t>
  </si>
  <si>
    <t>gm. Ustrzyki Dolne</t>
  </si>
  <si>
    <t>gm. Brzozów</t>
  </si>
  <si>
    <t>gm. Domaradz</t>
  </si>
  <si>
    <t>gm. Dydnia</t>
  </si>
  <si>
    <t>gm. Haczów</t>
  </si>
  <si>
    <t>gm. Jasienica Rosielna</t>
  </si>
  <si>
    <t>gm. Nozdrzec</t>
  </si>
  <si>
    <t>m. Dębica</t>
  </si>
  <si>
    <t>gm. Brzostek</t>
  </si>
  <si>
    <t>gm. Dębica</t>
  </si>
  <si>
    <t>gm. Jodłowa</t>
  </si>
  <si>
    <t>gm. Pilzno</t>
  </si>
  <si>
    <t>gm. Żyraków</t>
  </si>
  <si>
    <t>m. Jarosław</t>
  </si>
  <si>
    <t>m. Radymno</t>
  </si>
  <si>
    <t>gm. Chłopice</t>
  </si>
  <si>
    <t>gm. Jarosław</t>
  </si>
  <si>
    <t>gm. Laszki</t>
  </si>
  <si>
    <t>gm. Pawłosiów</t>
  </si>
  <si>
    <t>gm. Pruchnik</t>
  </si>
  <si>
    <t>gm. Radymno</t>
  </si>
  <si>
    <t>gm. Rokietnica</t>
  </si>
  <si>
    <t>gm. Roźwienica</t>
  </si>
  <si>
    <t>gm. Wiązownica</t>
  </si>
  <si>
    <t>m. Jasło</t>
  </si>
  <si>
    <t>gm. Brzyska</t>
  </si>
  <si>
    <t>gm. Dębowiec</t>
  </si>
  <si>
    <t>gm. Jasło</t>
  </si>
  <si>
    <t>gm. Kołaczyce</t>
  </si>
  <si>
    <t>gm. Krempna</t>
  </si>
  <si>
    <t>gm. Nowy Żmigród</t>
  </si>
  <si>
    <t>gm. Osiek Jasielski</t>
  </si>
  <si>
    <t>gm. Skołyszyn</t>
  </si>
  <si>
    <t>gm. Tarnowiec</t>
  </si>
  <si>
    <t>gm. Cmolas</t>
  </si>
  <si>
    <t>gm. Kolbuszowa</t>
  </si>
  <si>
    <t>gm. Majdan Królewski</t>
  </si>
  <si>
    <t>gm. Niwiska</t>
  </si>
  <si>
    <t>gm. Raniżów</t>
  </si>
  <si>
    <t>gm. Dzikowiec</t>
  </si>
  <si>
    <t>gm. Chorkówka</t>
  </si>
  <si>
    <t>gm. Dukla</t>
  </si>
  <si>
    <t>gm. Iwonicz-Zdrój</t>
  </si>
  <si>
    <t>gm. Jedlicze</t>
  </si>
  <si>
    <t>gm. Korczyna</t>
  </si>
  <si>
    <t>gm. Krościenko Wyżne</t>
  </si>
  <si>
    <t>gm. Miejsce Piastowe</t>
  </si>
  <si>
    <t>gm. Rymanów</t>
  </si>
  <si>
    <t>gm. Wojaszówka</t>
  </si>
  <si>
    <t>gm. Jaśliska</t>
  </si>
  <si>
    <t>m. Leżajsk</t>
  </si>
  <si>
    <t>gm. Grodzisko Dolne</t>
  </si>
  <si>
    <t>gm. Kuryłówka</t>
  </si>
  <si>
    <t>gm. Leżajsk</t>
  </si>
  <si>
    <t>gm. Nowa Sarzyna</t>
  </si>
  <si>
    <t>m. Lubaczów</t>
  </si>
  <si>
    <t>gm. Cieszanów</t>
  </si>
  <si>
    <t>gm. Horyniec-Zdrój</t>
  </si>
  <si>
    <t>gm. Lubaczów</t>
  </si>
  <si>
    <t>gm. Narol</t>
  </si>
  <si>
    <t>gm. Oleszyce</t>
  </si>
  <si>
    <t>gm. Stary Dzików</t>
  </si>
  <si>
    <t>gm. Wielkie Oczy</t>
  </si>
  <si>
    <t>m. Łańcut</t>
  </si>
  <si>
    <t>gm. Łańcut</t>
  </si>
  <si>
    <t>gm. Markowa</t>
  </si>
  <si>
    <t>gm. Rakszawa</t>
  </si>
  <si>
    <t>gm. Żołynia</t>
  </si>
  <si>
    <t>m. Mielec</t>
  </si>
  <si>
    <t>gm. Borowa</t>
  </si>
  <si>
    <t>gm. Czermin</t>
  </si>
  <si>
    <t>gm. Gawłuszowice</t>
  </si>
  <si>
    <t>gm. Mielec</t>
  </si>
  <si>
    <t>gm. Padew Narodowa</t>
  </si>
  <si>
    <t>gm. Przecław</t>
  </si>
  <si>
    <t>gm. Radomyśl Wielki</t>
  </si>
  <si>
    <t>gm. Tuszów Narodowy</t>
  </si>
  <si>
    <t>gm. Wadowice Górne</t>
  </si>
  <si>
    <t>gm. Harasiuki</t>
  </si>
  <si>
    <t>gm. Jarocin</t>
  </si>
  <si>
    <t>gm. Jeżowe</t>
  </si>
  <si>
    <t>gm. Krzeszów</t>
  </si>
  <si>
    <t>gm. Nisko</t>
  </si>
  <si>
    <t>gm. Rudnik nad Sanem</t>
  </si>
  <si>
    <t>gm. Ulanów</t>
  </si>
  <si>
    <t>gm. Bircza</t>
  </si>
  <si>
    <t>gm. Dubiecko</t>
  </si>
  <si>
    <t>gm. Fredropol</t>
  </si>
  <si>
    <t>gm. Krasiczyn</t>
  </si>
  <si>
    <t>gm. Krzywcza</t>
  </si>
  <si>
    <t>gm. Medyka</t>
  </si>
  <si>
    <t>gm. Orły</t>
  </si>
  <si>
    <t>gm. Przemyśl</t>
  </si>
  <si>
    <t>gm. Stubno</t>
  </si>
  <si>
    <t>gm. Żurawica</t>
  </si>
  <si>
    <t>m. Przeworsk</t>
  </si>
  <si>
    <t>gm. Adamówka</t>
  </si>
  <si>
    <t>gm. Gać</t>
  </si>
  <si>
    <t>gm. Jawornik Polski</t>
  </si>
  <si>
    <t>gm. Kańczuga</t>
  </si>
  <si>
    <t>gm. Przeworsk</t>
  </si>
  <si>
    <t>gm. Sieniawa</t>
  </si>
  <si>
    <t>gm. Tryńcza</t>
  </si>
  <si>
    <t>gm. Zarzecze</t>
  </si>
  <si>
    <t>gm. Iwierzyce</t>
  </si>
  <si>
    <t>gm. Ostrów</t>
  </si>
  <si>
    <t>gm. Ropczyce</t>
  </si>
  <si>
    <t>gm. Sędziszów Małopolski</t>
  </si>
  <si>
    <t>gm. Wielopole Skrzyńskie</t>
  </si>
  <si>
    <t>m. Dynów</t>
  </si>
  <si>
    <t>gm. Błażowa</t>
  </si>
  <si>
    <t>gm. Boguchwała</t>
  </si>
  <si>
    <t>gm. Chmielnik</t>
  </si>
  <si>
    <t>gm. Dynów</t>
  </si>
  <si>
    <t>gm. Głogów Małopolski</t>
  </si>
  <si>
    <t>gm. Hyżne</t>
  </si>
  <si>
    <t>gm. Lubenia</t>
  </si>
  <si>
    <t>gm. Sokołów Małopolski</t>
  </si>
  <si>
    <t>gm. Świlcza</t>
  </si>
  <si>
    <t>gm. Trzebownisko</t>
  </si>
  <si>
    <t>gm. Tyczyn</t>
  </si>
  <si>
    <t>m. Sanok</t>
  </si>
  <si>
    <t>gm. Besko</t>
  </si>
  <si>
    <t>gm. Bukowsko</t>
  </si>
  <si>
    <t>gm. Komańcza</t>
  </si>
  <si>
    <t>gm. Sanok</t>
  </si>
  <si>
    <t>gm. Tyrawa Wołoska</t>
  </si>
  <si>
    <t>gm. Zagórz</t>
  </si>
  <si>
    <t>gm. Zarszyn</t>
  </si>
  <si>
    <t>m. Stalowa Wola</t>
  </si>
  <si>
    <t>gm. Bojanów</t>
  </si>
  <si>
    <t>gm. Pysznica</t>
  </si>
  <si>
    <t>gm. Radomyśl nad Sanem</t>
  </si>
  <si>
    <t>gm. Zaklików</t>
  </si>
  <si>
    <t>gm. Zaleszany</t>
  </si>
  <si>
    <t>gm. Czudec</t>
  </si>
  <si>
    <t>gm. Frysztak</t>
  </si>
  <si>
    <t>gm. Niebylec</t>
  </si>
  <si>
    <t>gm. Strzyżów</t>
  </si>
  <si>
    <t>gm. Baranów Sandomierski</t>
  </si>
  <si>
    <t>gm. Gorzyce</t>
  </si>
  <si>
    <t>gm. Grębów</t>
  </si>
  <si>
    <t>gm. Nowa Dęba</t>
  </si>
  <si>
    <t>gm. Baligród</t>
  </si>
  <si>
    <t>gm. Cisna</t>
  </si>
  <si>
    <t>gm. Lesko</t>
  </si>
  <si>
    <t>gm. Olszanica</t>
  </si>
  <si>
    <t>gm. Solina</t>
  </si>
  <si>
    <t>m. Krosno</t>
  </si>
  <si>
    <t>m. Przemyśl</t>
  </si>
  <si>
    <t>m. Rzeszów</t>
  </si>
  <si>
    <t>m. Tarnobrzeg</t>
  </si>
  <si>
    <t>podlaskie</t>
  </si>
  <si>
    <t>m. Augustów</t>
  </si>
  <si>
    <t>gm. Augustów</t>
  </si>
  <si>
    <t>gm. Bargłów Kościelny</t>
  </si>
  <si>
    <t>gm. Lipsk</t>
  </si>
  <si>
    <t>gm. Nowinka</t>
  </si>
  <si>
    <t>gm. Płaska</t>
  </si>
  <si>
    <t>gm. Sztabin</t>
  </si>
  <si>
    <t>gm. Choroszcz</t>
  </si>
  <si>
    <t>gm. Czarna Białostocka</t>
  </si>
  <si>
    <t>gm. Dobrzyniewo Duże</t>
  </si>
  <si>
    <t>gm. Gródek</t>
  </si>
  <si>
    <t>gm. Juchnowiec Kościelny</t>
  </si>
  <si>
    <t>gm. Łapy</t>
  </si>
  <si>
    <t>gm. Michałowo</t>
  </si>
  <si>
    <t>gm. Supraśl</t>
  </si>
  <si>
    <t>gm. Suraż</t>
  </si>
  <si>
    <t>gm. Turośń Kościelna</t>
  </si>
  <si>
    <t>gm. Tykocin</t>
  </si>
  <si>
    <t>gm. Wasilków</t>
  </si>
  <si>
    <t>gm. Zabłudów</t>
  </si>
  <si>
    <t>gm. Zawady</t>
  </si>
  <si>
    <t>m. Bielsk Podlaski</t>
  </si>
  <si>
    <t>m. Brańsk</t>
  </si>
  <si>
    <t>gm. Bielsk Podlaski</t>
  </si>
  <si>
    <t>gm. Boćki</t>
  </si>
  <si>
    <t>gm. Brańsk</t>
  </si>
  <si>
    <t>gm. Orla</t>
  </si>
  <si>
    <t>gm. Rudka</t>
  </si>
  <si>
    <t>gm. Wyszki</t>
  </si>
  <si>
    <t>m. Grajewo</t>
  </si>
  <si>
    <t>gm. Grajewo</t>
  </si>
  <si>
    <t>gm. Radziłów</t>
  </si>
  <si>
    <t>gm. Rajgród</t>
  </si>
  <si>
    <t>gm. Szczuczyn</t>
  </si>
  <si>
    <t>m. Hajnówka</t>
  </si>
  <si>
    <t>gm. Białowieża</t>
  </si>
  <si>
    <t>gm. Czeremcha</t>
  </si>
  <si>
    <t>gm. Czyże</t>
  </si>
  <si>
    <t>gm. Dubicze Cerkiewne</t>
  </si>
  <si>
    <t>gm. Hajnówka</t>
  </si>
  <si>
    <t>gm. Kleszczele</t>
  </si>
  <si>
    <t>gm. Narew</t>
  </si>
  <si>
    <t>gm. Narewka</t>
  </si>
  <si>
    <t>m. Kolno</t>
  </si>
  <si>
    <t>gm. Grabowo</t>
  </si>
  <si>
    <t>gm. Kolno</t>
  </si>
  <si>
    <t>gm. Mały Płock</t>
  </si>
  <si>
    <t>gm. Stawiski</t>
  </si>
  <si>
    <t>gm. Turośl</t>
  </si>
  <si>
    <t>gm. Jedwabne</t>
  </si>
  <si>
    <t>gm. Łomża</t>
  </si>
  <si>
    <t>gm. Miastkowo</t>
  </si>
  <si>
    <t>gm. Nowogród</t>
  </si>
  <si>
    <t>gm. Piątnica</t>
  </si>
  <si>
    <t>gm. Przytuły</t>
  </si>
  <si>
    <t>gm. Śniadowo</t>
  </si>
  <si>
    <t>gm. Wizna</t>
  </si>
  <si>
    <t>gm. Zbójna</t>
  </si>
  <si>
    <t>gm. Goniądz</t>
  </si>
  <si>
    <t>gm. Jasionówka</t>
  </si>
  <si>
    <t>gm. Jaświły</t>
  </si>
  <si>
    <t>gm. Knyszyn</t>
  </si>
  <si>
    <t>gm. Krypno</t>
  </si>
  <si>
    <t>gm. Mońki</t>
  </si>
  <si>
    <t>gm. Trzcianne</t>
  </si>
  <si>
    <t>m. Sejny</t>
  </si>
  <si>
    <t>gm. Giby</t>
  </si>
  <si>
    <t>gm. Krasnopol</t>
  </si>
  <si>
    <t>gm. Puńsk</t>
  </si>
  <si>
    <t>gm. Sejny</t>
  </si>
  <si>
    <t>m. Siemiatycze</t>
  </si>
  <si>
    <t>gm. Drohiczyn</t>
  </si>
  <si>
    <t>gm. Dziadkowice</t>
  </si>
  <si>
    <t>gm. Grodzisk</t>
  </si>
  <si>
    <t>gm. Mielnik</t>
  </si>
  <si>
    <t>gm. Milejczyce</t>
  </si>
  <si>
    <t>gm. Nurzec-Stacja</t>
  </si>
  <si>
    <t>gm. Perlejewo</t>
  </si>
  <si>
    <t>gm. Siemiatycze</t>
  </si>
  <si>
    <t>gm. Dąbrowa Białostocka</t>
  </si>
  <si>
    <t>gm. Janów</t>
  </si>
  <si>
    <t>gm. Korycin</t>
  </si>
  <si>
    <t>gm. Krynki</t>
  </si>
  <si>
    <t>gm. Kuźnica</t>
  </si>
  <si>
    <t>gm. Nowy Dwór</t>
  </si>
  <si>
    <t>gm. Sidra</t>
  </si>
  <si>
    <t>gm. Sokółka</t>
  </si>
  <si>
    <t>gm. Suchowola</t>
  </si>
  <si>
    <t>gm. Szudziałowo</t>
  </si>
  <si>
    <t>gm. Bakałarzewo</t>
  </si>
  <si>
    <t>gm. Filipów</t>
  </si>
  <si>
    <t>gm. Jeleniewo</t>
  </si>
  <si>
    <t>gm. Przerośl</t>
  </si>
  <si>
    <t>gm. Raczki</t>
  </si>
  <si>
    <t>gm. Rutka-Tartak</t>
  </si>
  <si>
    <t>gm. Suwałki</t>
  </si>
  <si>
    <t>gm. Szypliszki</t>
  </si>
  <si>
    <t>gm. Wiżajny</t>
  </si>
  <si>
    <t>m. Wysokie Mazowieckie</t>
  </si>
  <si>
    <t>gm. Ciechanowiec</t>
  </si>
  <si>
    <t>gm. Czyżew</t>
  </si>
  <si>
    <t>gm. Klukowo</t>
  </si>
  <si>
    <t>gm. Kobylin-Borzymy</t>
  </si>
  <si>
    <t>gm. Kulesze Kościelne</t>
  </si>
  <si>
    <t>gm. Nowe Piekuty</t>
  </si>
  <si>
    <t>gm. Sokoły</t>
  </si>
  <si>
    <t>gm. Szepietowo</t>
  </si>
  <si>
    <t>gm. Wysokie Mazowieckie</t>
  </si>
  <si>
    <t>m. Zambrów</t>
  </si>
  <si>
    <t>gm. Kołaki Kościelne</t>
  </si>
  <si>
    <t>gm. Rutki</t>
  </si>
  <si>
    <t>gm. Szumowo</t>
  </si>
  <si>
    <t>gm. Zambrów</t>
  </si>
  <si>
    <t>m. Białystok</t>
  </si>
  <si>
    <t>m. Łomża</t>
  </si>
  <si>
    <t>m. Suwałki</t>
  </si>
  <si>
    <t>pomorskie</t>
  </si>
  <si>
    <t>gm. Borzytuchom</t>
  </si>
  <si>
    <t>gm. Bytów</t>
  </si>
  <si>
    <t>gm. Czarna Dąbrówka</t>
  </si>
  <si>
    <t>gm. Kołczygłowy</t>
  </si>
  <si>
    <t>gm. Lipnica</t>
  </si>
  <si>
    <t>gm. Miastko</t>
  </si>
  <si>
    <t>gm. Parchowo</t>
  </si>
  <si>
    <t>gm. Studzienice</t>
  </si>
  <si>
    <t>gm. Trzebielino</t>
  </si>
  <si>
    <t>gm. Tuchomie</t>
  </si>
  <si>
    <t>m. Chojnice</t>
  </si>
  <si>
    <t>gm. Brusy</t>
  </si>
  <si>
    <t>gm. Chojnice</t>
  </si>
  <si>
    <t>gm. Czersk</t>
  </si>
  <si>
    <t>gm. Konarzyny</t>
  </si>
  <si>
    <t>m. Człuchów</t>
  </si>
  <si>
    <t>gm. Czarne</t>
  </si>
  <si>
    <t>gm. Człuchów</t>
  </si>
  <si>
    <t>gm. Debrzno</t>
  </si>
  <si>
    <t>gm. Koczała</t>
  </si>
  <si>
    <t>gm. Przechlewo</t>
  </si>
  <si>
    <t>gm. Rzeczenica</t>
  </si>
  <si>
    <t>m. Pruszcz Gdański</t>
  </si>
  <si>
    <t>gm. Cedry Wielkie</t>
  </si>
  <si>
    <t>gm. Kolbudy</t>
  </si>
  <si>
    <t>gm. Pruszcz Gdański</t>
  </si>
  <si>
    <t>gm. Przywidz</t>
  </si>
  <si>
    <t>gm. Pszczółki</t>
  </si>
  <si>
    <t>gm. Suchy Dąb</t>
  </si>
  <si>
    <t>gm. Trąbki Wielkie</t>
  </si>
  <si>
    <t>gm. Chmielno</t>
  </si>
  <si>
    <t>gm. Kartuzy</t>
  </si>
  <si>
    <t>gm. Przodkowo</t>
  </si>
  <si>
    <t>gm. Sierakowice</t>
  </si>
  <si>
    <t>gm. Somonino</t>
  </si>
  <si>
    <t>gm. Sulęczyno</t>
  </si>
  <si>
    <t>gm. Żukowo</t>
  </si>
  <si>
    <t>m. Kościerzyna</t>
  </si>
  <si>
    <t>gm. Dziemiany</t>
  </si>
  <si>
    <t>gm. Karsin</t>
  </si>
  <si>
    <t>gm. Kościerzyna</t>
  </si>
  <si>
    <t>gm. Liniewo</t>
  </si>
  <si>
    <t>gm. Lipusz</t>
  </si>
  <si>
    <t>gm. Nowa Karczma</t>
  </si>
  <si>
    <t>gm. Stara Kiszewa</t>
  </si>
  <si>
    <t>m. Kwidzyn</t>
  </si>
  <si>
    <t>gm. Gardeja</t>
  </si>
  <si>
    <t>gm. Kwidzyn</t>
  </si>
  <si>
    <t>gm. Prabuty</t>
  </si>
  <si>
    <t>gm. Ryjewo</t>
  </si>
  <si>
    <t>gm. Sadlinki</t>
  </si>
  <si>
    <t>m. Lębork</t>
  </si>
  <si>
    <t>m. Łeba</t>
  </si>
  <si>
    <t>gm. Cewice</t>
  </si>
  <si>
    <t>gm. Nowa Wieś Lęborska</t>
  </si>
  <si>
    <t>gm. Wicko</t>
  </si>
  <si>
    <t>m. Malbork</t>
  </si>
  <si>
    <t>gm. Lichnowy</t>
  </si>
  <si>
    <t>gm. Malbork</t>
  </si>
  <si>
    <t>gm. Miłoradz</t>
  </si>
  <si>
    <t>gm. Nowy Staw</t>
  </si>
  <si>
    <t>gm. Stare Pole</t>
  </si>
  <si>
    <t>m. Krynica Morska</t>
  </si>
  <si>
    <t>gm. Nowy Dwór Gdański</t>
  </si>
  <si>
    <t>gm. Ostaszewo</t>
  </si>
  <si>
    <t>gm. Stegna</t>
  </si>
  <si>
    <t>gm. Sztutowo</t>
  </si>
  <si>
    <t>m. Hel</t>
  </si>
  <si>
    <t>gm. Jastarnia</t>
  </si>
  <si>
    <t>m. Puck</t>
  </si>
  <si>
    <t>gm. Władysławowo</t>
  </si>
  <si>
    <t>gm. Kosakowo</t>
  </si>
  <si>
    <t>gm. Krokowa</t>
  </si>
  <si>
    <t>gm. Puck</t>
  </si>
  <si>
    <t>m. Ustka</t>
  </si>
  <si>
    <t>gm. Damnica</t>
  </si>
  <si>
    <t>gm. Dębnica Kaszubska</t>
  </si>
  <si>
    <t>gm. Główczyce</t>
  </si>
  <si>
    <t>gm. Kępice</t>
  </si>
  <si>
    <t>gm. Kobylnica</t>
  </si>
  <si>
    <t>gm. Potęgowo</t>
  </si>
  <si>
    <t>gm. Słupsk</t>
  </si>
  <si>
    <t>gm. Smołdzino</t>
  </si>
  <si>
    <t>gm. Ustka</t>
  </si>
  <si>
    <t>gm. Czarna Woda</t>
  </si>
  <si>
    <t>m. Skórcz</t>
  </si>
  <si>
    <t>m. Starogard Gdański</t>
  </si>
  <si>
    <t>gm. Bobowo</t>
  </si>
  <si>
    <t>gm. Kaliska</t>
  </si>
  <si>
    <t>gm. Lubichowo</t>
  </si>
  <si>
    <t>gm. Osieczna</t>
  </si>
  <si>
    <t>gm. Skarszewy</t>
  </si>
  <si>
    <t>gm. Skórcz</t>
  </si>
  <si>
    <t>gm. Smętowo Graniczne</t>
  </si>
  <si>
    <t>gm. Starogard Gdański</t>
  </si>
  <si>
    <t>gm. Zblewo</t>
  </si>
  <si>
    <t>m. Tczew</t>
  </si>
  <si>
    <t>gm. Gniew</t>
  </si>
  <si>
    <t>gm. Morzeszczyn</t>
  </si>
  <si>
    <t>gm. Pelplin</t>
  </si>
  <si>
    <t>gm. Subkowy</t>
  </si>
  <si>
    <t>gm. Tczew</t>
  </si>
  <si>
    <t>m. Reda</t>
  </si>
  <si>
    <t>m. Rumia</t>
  </si>
  <si>
    <t>m. Wejherowo</t>
  </si>
  <si>
    <t>gm. Choczewo</t>
  </si>
  <si>
    <t>gm. Gniewino</t>
  </si>
  <si>
    <t>gm. Linia</t>
  </si>
  <si>
    <t>gm. Luzino</t>
  </si>
  <si>
    <t>gm. Łęczyce</t>
  </si>
  <si>
    <t>gm. Szemud</t>
  </si>
  <si>
    <t>gm. Wejherowo</t>
  </si>
  <si>
    <t>gm. Dzierzgoń</t>
  </si>
  <si>
    <t>gm. Mikołajki Pomorskie</t>
  </si>
  <si>
    <t>gm. Stary Dzierzgoń</t>
  </si>
  <si>
    <t>gm. Stary Targ</t>
  </si>
  <si>
    <t>gm. Sztum</t>
  </si>
  <si>
    <t>m. Gdańsk</t>
  </si>
  <si>
    <t>m. Gdynia</t>
  </si>
  <si>
    <t>m. Słupsk</t>
  </si>
  <si>
    <t>m. Sopot</t>
  </si>
  <si>
    <t>śląskie</t>
  </si>
  <si>
    <t>m. Będzin</t>
  </si>
  <si>
    <t>m. Czeladź</t>
  </si>
  <si>
    <t>m. Wojkowice</t>
  </si>
  <si>
    <t>gm. Mierzęcice</t>
  </si>
  <si>
    <t>gm. Psary</t>
  </si>
  <si>
    <t>gm. Siewierz</t>
  </si>
  <si>
    <t>m. Sławków</t>
  </si>
  <si>
    <t>m. Szczyrk</t>
  </si>
  <si>
    <t>gm. Bestwina</t>
  </si>
  <si>
    <t>gm. Buczkowice</t>
  </si>
  <si>
    <t>gm. Czechowice-Dziedzice</t>
  </si>
  <si>
    <t>gm. Jasienica</t>
  </si>
  <si>
    <t>gm. Jaworze</t>
  </si>
  <si>
    <t>gm. Kozy</t>
  </si>
  <si>
    <t>gm. Porąbka</t>
  </si>
  <si>
    <t>gm. Wilamowice</t>
  </si>
  <si>
    <t>gm. Wilkowice</t>
  </si>
  <si>
    <t>m. Cieszyn</t>
  </si>
  <si>
    <t>m. Ustroń</t>
  </si>
  <si>
    <t>m. Wisła</t>
  </si>
  <si>
    <t>gm. Brenna</t>
  </si>
  <si>
    <t>gm. Chybie</t>
  </si>
  <si>
    <t>gm. Goleszów</t>
  </si>
  <si>
    <t>gm. Hażlach</t>
  </si>
  <si>
    <t>gm. Istebna</t>
  </si>
  <si>
    <t>gm. Skoczów</t>
  </si>
  <si>
    <t>gm. Strumień</t>
  </si>
  <si>
    <t>gm. Zebrzydowice</t>
  </si>
  <si>
    <t>gm. Blachownia</t>
  </si>
  <si>
    <t>gm. Dąbrowa Zielona</t>
  </si>
  <si>
    <t>gm. Kamienica Polska</t>
  </si>
  <si>
    <t>gm. Kłomnice</t>
  </si>
  <si>
    <t>gm. Koniecpol</t>
  </si>
  <si>
    <t>gm. Konopiska</t>
  </si>
  <si>
    <t>gm. Kruszyna</t>
  </si>
  <si>
    <t>gm. Lelów</t>
  </si>
  <si>
    <t>gm. Mstów</t>
  </si>
  <si>
    <t>gm. Mykanów</t>
  </si>
  <si>
    <t>gm. Olsztyn</t>
  </si>
  <si>
    <t>gm. Poczesna</t>
  </si>
  <si>
    <t>gm. Przyrów</t>
  </si>
  <si>
    <t>gm. Rędziny</t>
  </si>
  <si>
    <t>gm. Starcza</t>
  </si>
  <si>
    <t>m. Knurów</t>
  </si>
  <si>
    <t>m. Pyskowice</t>
  </si>
  <si>
    <t>gm. Gierałtowice</t>
  </si>
  <si>
    <t>gm. Pilchowice</t>
  </si>
  <si>
    <t>gm. Rudziniec</t>
  </si>
  <si>
    <t>gm. Sośnicowice</t>
  </si>
  <si>
    <t>gm. Toszek</t>
  </si>
  <si>
    <t>gm. Wielowieś</t>
  </si>
  <si>
    <t>gm. Kłobuck</t>
  </si>
  <si>
    <t>gm. Krzepice</t>
  </si>
  <si>
    <t>gm. Lipie</t>
  </si>
  <si>
    <t>gm. Miedźno</t>
  </si>
  <si>
    <t>gm. Opatów</t>
  </si>
  <si>
    <t>gm. Panki</t>
  </si>
  <si>
    <t>gm. Popów</t>
  </si>
  <si>
    <t>gm. Przystajń</t>
  </si>
  <si>
    <t>gm. Wręczyca Wielka</t>
  </si>
  <si>
    <t>m. Lubliniec</t>
  </si>
  <si>
    <t>gm. Boronów</t>
  </si>
  <si>
    <t>gm. Ciasna</t>
  </si>
  <si>
    <t>gm. Herby</t>
  </si>
  <si>
    <t>gm. Kochanowice</t>
  </si>
  <si>
    <t>gm. Koszęcin</t>
  </si>
  <si>
    <t>gm. Pawonków</t>
  </si>
  <si>
    <t>gm. Woźniki</t>
  </si>
  <si>
    <t>m. Łaziska Górne</t>
  </si>
  <si>
    <t>m. Mikołów</t>
  </si>
  <si>
    <t>m. Orzesze</t>
  </si>
  <si>
    <t>gm. Ornontowice</t>
  </si>
  <si>
    <t>gm. Wyry</t>
  </si>
  <si>
    <t>m. Myszków</t>
  </si>
  <si>
    <t>gm. Koziegłowy</t>
  </si>
  <si>
    <t>gm. Niegowa</t>
  </si>
  <si>
    <t>gm. Poraj</t>
  </si>
  <si>
    <t>gm. Żarki</t>
  </si>
  <si>
    <t>gm. Goczałkowice-Zdrój</t>
  </si>
  <si>
    <t>gm. Kobiór</t>
  </si>
  <si>
    <t>gm. Miedźna</t>
  </si>
  <si>
    <t>gm. Pawłowice</t>
  </si>
  <si>
    <t>gm. Pszczyna</t>
  </si>
  <si>
    <t>gm. Suszec</t>
  </si>
  <si>
    <t>m. Racibórz</t>
  </si>
  <si>
    <t>gm. Kornowac</t>
  </si>
  <si>
    <t>gm. Krzanowice</t>
  </si>
  <si>
    <t>gm. Krzyżanowice</t>
  </si>
  <si>
    <t>gm. Kuźnia Raciborska</t>
  </si>
  <si>
    <t>gm. Nędza</t>
  </si>
  <si>
    <t>gm. Pietrowice Wielkie</t>
  </si>
  <si>
    <t>gm. Czerwionka-Leszczyny</t>
  </si>
  <si>
    <t>gm. Gaszowice</t>
  </si>
  <si>
    <t>gm. Jejkowice</t>
  </si>
  <si>
    <t>gm. Lyski</t>
  </si>
  <si>
    <t>gm. Świerklany</t>
  </si>
  <si>
    <t>m. Kalety</t>
  </si>
  <si>
    <t>m. Miasteczko Śląskie</t>
  </si>
  <si>
    <t>m. Radzionków</t>
  </si>
  <si>
    <t>m. Tarnowskie Góry</t>
  </si>
  <si>
    <t>gm. Krupski Młyn</t>
  </si>
  <si>
    <t>gm. Ożarowice</t>
  </si>
  <si>
    <t>gm. Świerklaniec</t>
  </si>
  <si>
    <t>gm. Tworóg</t>
  </si>
  <si>
    <t>gm. Zbrosławice</t>
  </si>
  <si>
    <t>m. Bieruń</t>
  </si>
  <si>
    <t>m. Imielin</t>
  </si>
  <si>
    <t>m. Lędziny</t>
  </si>
  <si>
    <t>gm. Bojszowy</t>
  </si>
  <si>
    <t>gm. Chełm Śląski</t>
  </si>
  <si>
    <t>m. Pszów</t>
  </si>
  <si>
    <t>m. Radlin</t>
  </si>
  <si>
    <t>m. Rydułtowy</t>
  </si>
  <si>
    <t>m. Wodzisław Śląski</t>
  </si>
  <si>
    <t>gm. Godów</t>
  </si>
  <si>
    <t>gm. Lubomia</t>
  </si>
  <si>
    <t>gm. Marklowice</t>
  </si>
  <si>
    <t>gm. Mszana</t>
  </si>
  <si>
    <t>m. Poręba</t>
  </si>
  <si>
    <t>m. Zawiercie</t>
  </si>
  <si>
    <t>gm. Irządze</t>
  </si>
  <si>
    <t>gm. Kroczyce</t>
  </si>
  <si>
    <t>gm. Łazy</t>
  </si>
  <si>
    <t>gm. Ogrodzieniec</t>
  </si>
  <si>
    <t>gm. Pilica</t>
  </si>
  <si>
    <t>gm. Szczekociny</t>
  </si>
  <si>
    <t>gm. Włodowice</t>
  </si>
  <si>
    <t>gm. Żarnowiec</t>
  </si>
  <si>
    <t>m. Żywiec</t>
  </si>
  <si>
    <t>gm. Gilowice</t>
  </si>
  <si>
    <t>gm. Jeleśnia</t>
  </si>
  <si>
    <t>gm. Koszarawa</t>
  </si>
  <si>
    <t>gm. Lipowa</t>
  </si>
  <si>
    <t>gm. Łękawica</t>
  </si>
  <si>
    <t>gm. Łodygowice</t>
  </si>
  <si>
    <t>gm. Milówka</t>
  </si>
  <si>
    <t>gm. Radziechowy-Wieprz</t>
  </si>
  <si>
    <t>gm. Rajcza</t>
  </si>
  <si>
    <t>gm. Ślemień</t>
  </si>
  <si>
    <t>gm. Świnna</t>
  </si>
  <si>
    <t>gm. Ujsoły</t>
  </si>
  <si>
    <t>gm. Węgierska Górka</t>
  </si>
  <si>
    <t>m. Bielsko-Biała</t>
  </si>
  <si>
    <t>m. Bytom</t>
  </si>
  <si>
    <t>m. Chorzów</t>
  </si>
  <si>
    <t>m. Częstochowa</t>
  </si>
  <si>
    <t>m. Dąbrowa Górnicza</t>
  </si>
  <si>
    <t>m. Gliwice</t>
  </si>
  <si>
    <t>m. Jastrzębie-Zdrój</t>
  </si>
  <si>
    <t>m. Jaworzno</t>
  </si>
  <si>
    <t>m. Katowice</t>
  </si>
  <si>
    <t>m. Mysłowice</t>
  </si>
  <si>
    <t>m. Piekary Śląskie</t>
  </si>
  <si>
    <t>m. Ruda Śląska</t>
  </si>
  <si>
    <t>m. Rybnik</t>
  </si>
  <si>
    <t>m. Siemianowice Śląskie</t>
  </si>
  <si>
    <t>m. Sosnowiec</t>
  </si>
  <si>
    <t>m. Świętochłowice</t>
  </si>
  <si>
    <t>m. Tychy</t>
  </si>
  <si>
    <t>m. Zabrze</t>
  </si>
  <si>
    <t>m. Żory</t>
  </si>
  <si>
    <t>świętokrzyskie</t>
  </si>
  <si>
    <t>gm. Busko-Zdrój</t>
  </si>
  <si>
    <t>gm. Gnojno</t>
  </si>
  <si>
    <t>gm. Nowy Korczyn</t>
  </si>
  <si>
    <t>gm. Pacanów</t>
  </si>
  <si>
    <t>gm. Solec-Zdrój</t>
  </si>
  <si>
    <t>gm. Stopnica</t>
  </si>
  <si>
    <t>gm. Tuczępy</t>
  </si>
  <si>
    <t>gm. Wiślica</t>
  </si>
  <si>
    <t>gm. Imielno</t>
  </si>
  <si>
    <t>gm. Jędrzejów</t>
  </si>
  <si>
    <t>gm. Małogoszcz</t>
  </si>
  <si>
    <t>gm. Nagłowice</t>
  </si>
  <si>
    <t>gm. Oksa</t>
  </si>
  <si>
    <t>gm. Sędziszów</t>
  </si>
  <si>
    <t>gm. Słupia (Jędrzejowska)</t>
  </si>
  <si>
    <t>gm. Sobków</t>
  </si>
  <si>
    <t>gm. Wodzisław</t>
  </si>
  <si>
    <t>gm. Bejsce</t>
  </si>
  <si>
    <t>gm. Kazimierza Wielka</t>
  </si>
  <si>
    <t>gm. Opatowiec</t>
  </si>
  <si>
    <t>gm. Skalbmierz</t>
  </si>
  <si>
    <t>gm. Bieliny</t>
  </si>
  <si>
    <t>gm. Bodzentyn</t>
  </si>
  <si>
    <t>gm. Chęciny</t>
  </si>
  <si>
    <t>gm. Daleszyce</t>
  </si>
  <si>
    <t>gm. Górno</t>
  </si>
  <si>
    <t>gm. Łopuszno</t>
  </si>
  <si>
    <t>gm. Masłów</t>
  </si>
  <si>
    <t>gm. Miedziana Góra</t>
  </si>
  <si>
    <t>gm. Mniów</t>
  </si>
  <si>
    <t>gm. Morawica</t>
  </si>
  <si>
    <t>gm. Nowa Słupia</t>
  </si>
  <si>
    <t>gm. Piekoszów</t>
  </si>
  <si>
    <t>gm. Pierzchnica</t>
  </si>
  <si>
    <t>gm. Raków</t>
  </si>
  <si>
    <t>gm. Nowiny</t>
  </si>
  <si>
    <t>gm. Strawczyn</t>
  </si>
  <si>
    <t>gm. Zagnańsk</t>
  </si>
  <si>
    <t>gm. Fałków</t>
  </si>
  <si>
    <t>gm. Gowarczów</t>
  </si>
  <si>
    <t>gm. Końskie</t>
  </si>
  <si>
    <t>gm. Radoszyce</t>
  </si>
  <si>
    <t>gm. Ruda Maleniecka</t>
  </si>
  <si>
    <t>gm. Słupia Konecka</t>
  </si>
  <si>
    <t>gm. Smyków</t>
  </si>
  <si>
    <t>gm. Stąporków</t>
  </si>
  <si>
    <t>gm. Baćkowice</t>
  </si>
  <si>
    <t>gm. Iwaniska</t>
  </si>
  <si>
    <t>gm. Lipnik</t>
  </si>
  <si>
    <t>gm. Ożarów</t>
  </si>
  <si>
    <t>gm. Sadowie</t>
  </si>
  <si>
    <t>gm. Tarłów</t>
  </si>
  <si>
    <t>gm. Wojciechowice</t>
  </si>
  <si>
    <t>m. Ostrowiec Świętokrzyski</t>
  </si>
  <si>
    <t>gm. Bałtów</t>
  </si>
  <si>
    <t>gm. Bodzechów</t>
  </si>
  <si>
    <t>gm. Ćmielów</t>
  </si>
  <si>
    <t>gm. Kunów</t>
  </si>
  <si>
    <t>gm. Waśniów</t>
  </si>
  <si>
    <t>gm. Działoszyce</t>
  </si>
  <si>
    <t>gm. Kije</t>
  </si>
  <si>
    <t>gm. Michałów</t>
  </si>
  <si>
    <t>gm. Pińczów</t>
  </si>
  <si>
    <t>gm. Złota</t>
  </si>
  <si>
    <t>m. Sandomierz</t>
  </si>
  <si>
    <t>gm. Dwikozy</t>
  </si>
  <si>
    <t>gm. Klimontów</t>
  </si>
  <si>
    <t>gm. Koprzywnica</t>
  </si>
  <si>
    <t>gm. Łoniów</t>
  </si>
  <si>
    <t>gm. Obrazów</t>
  </si>
  <si>
    <t>gm. Samborzec</t>
  </si>
  <si>
    <t>gm. Wilczyce</t>
  </si>
  <si>
    <t>gm. Zawichost</t>
  </si>
  <si>
    <t>m. Skarżysko-Kamienna</t>
  </si>
  <si>
    <t>gm. Bliżyn</t>
  </si>
  <si>
    <t>gm. Łączna</t>
  </si>
  <si>
    <t>gm. Skarżysko Kościelne</t>
  </si>
  <si>
    <t>gm. Suchedniów</t>
  </si>
  <si>
    <t>m. Starachowice</t>
  </si>
  <si>
    <t>gm. Mirzec</t>
  </si>
  <si>
    <t>gm. Pawłów</t>
  </si>
  <si>
    <t>gm. Wąchock</t>
  </si>
  <si>
    <t>gm. Bogoria</t>
  </si>
  <si>
    <t>gm. Połaniec</t>
  </si>
  <si>
    <t>gm. Rytwiany</t>
  </si>
  <si>
    <t>gm. Staszów</t>
  </si>
  <si>
    <t>gm. Szydłów</t>
  </si>
  <si>
    <t>gm. Kluczewsko</t>
  </si>
  <si>
    <t>gm. Krasocin</t>
  </si>
  <si>
    <t>gm. Moskorzew</t>
  </si>
  <si>
    <t>gm. Secemin</t>
  </si>
  <si>
    <t>gm. Włoszczowa</t>
  </si>
  <si>
    <t>m. Kielce</t>
  </si>
  <si>
    <t>warmińsko-mazurskie</t>
  </si>
  <si>
    <t>m. Bartoszyce</t>
  </si>
  <si>
    <t>m. Górowo Iławeckie</t>
  </si>
  <si>
    <t>gm. Bartoszyce</t>
  </si>
  <si>
    <t>gm. Bisztynek</t>
  </si>
  <si>
    <t>gm. Górowo Iławeckie</t>
  </si>
  <si>
    <t>gm. Sępopol</t>
  </si>
  <si>
    <t>m. Braniewo</t>
  </si>
  <si>
    <t>gm. Braniewo</t>
  </si>
  <si>
    <t>gm. Frombork</t>
  </si>
  <si>
    <t>gm. Lelkowo</t>
  </si>
  <si>
    <t>gm. Pieniężno</t>
  </si>
  <si>
    <t>gm. Płoskinia</t>
  </si>
  <si>
    <t>gm. Wilczęta</t>
  </si>
  <si>
    <t>m. Działdowo</t>
  </si>
  <si>
    <t>gm. Działdowo</t>
  </si>
  <si>
    <t>gm. Iłowo-Osada</t>
  </si>
  <si>
    <t>gm. Lidzbark</t>
  </si>
  <si>
    <t>gm. Płośnica</t>
  </si>
  <si>
    <t>gm. Elbląg</t>
  </si>
  <si>
    <t>gm. Godkowo</t>
  </si>
  <si>
    <t>gm. Gronowo Elbląskie</t>
  </si>
  <si>
    <t>gm. Markusy</t>
  </si>
  <si>
    <t>gm. Milejewo</t>
  </si>
  <si>
    <t>gm. Młynary</t>
  </si>
  <si>
    <t>gm. Pasłęk</t>
  </si>
  <si>
    <t>gm. Rychliki</t>
  </si>
  <si>
    <t>gm. Tolkmicko</t>
  </si>
  <si>
    <t>m. Ełk</t>
  </si>
  <si>
    <t>gm. Ełk</t>
  </si>
  <si>
    <t>gm. Kalinowo</t>
  </si>
  <si>
    <t>gm. Prostki</t>
  </si>
  <si>
    <t>gm. Stare Juchy</t>
  </si>
  <si>
    <t>m. Giżycko</t>
  </si>
  <si>
    <t>gm. Giżycko</t>
  </si>
  <si>
    <t>gm. Kruklanki</t>
  </si>
  <si>
    <t>gm. Miłki</t>
  </si>
  <si>
    <t>gm. Ryn</t>
  </si>
  <si>
    <t>gm. Wydminy</t>
  </si>
  <si>
    <t>m. Iława</t>
  </si>
  <si>
    <t>m. Lubawa</t>
  </si>
  <si>
    <t>gm. Iława</t>
  </si>
  <si>
    <t>gm. Kisielice</t>
  </si>
  <si>
    <t>gm. Lubawa</t>
  </si>
  <si>
    <t>gm. Susz</t>
  </si>
  <si>
    <t>gm. Zalewo</t>
  </si>
  <si>
    <t>m. Kętrzyn</t>
  </si>
  <si>
    <t>gm. Barciany</t>
  </si>
  <si>
    <t>gm. Kętrzyn</t>
  </si>
  <si>
    <t>gm. Korsze</t>
  </si>
  <si>
    <t>gm. Reszel</t>
  </si>
  <si>
    <t>gm. Srokowo</t>
  </si>
  <si>
    <t>m. Lidzbark Warmiński</t>
  </si>
  <si>
    <t>gm. Kiwity</t>
  </si>
  <si>
    <t>gm. Lidzbark Warmiński</t>
  </si>
  <si>
    <t>gm. Lubomino</t>
  </si>
  <si>
    <t>gm. Orneta</t>
  </si>
  <si>
    <t>m. Mrągowo</t>
  </si>
  <si>
    <t>gm. Mikołajki</t>
  </si>
  <si>
    <t>gm. Mrągowo</t>
  </si>
  <si>
    <t>gm. Piecki</t>
  </si>
  <si>
    <t>gm. Sorkwity</t>
  </si>
  <si>
    <t>gm. Janowiec Kościelny</t>
  </si>
  <si>
    <t>gm. Janowo</t>
  </si>
  <si>
    <t>gm. Kozłowo</t>
  </si>
  <si>
    <t>gm. Nidzica</t>
  </si>
  <si>
    <t>m. Nowe Miasto Lubawskie</t>
  </si>
  <si>
    <t>gm. Biskupiec</t>
  </si>
  <si>
    <t>gm. Grodziczno</t>
  </si>
  <si>
    <t>gm. Kurzętnik</t>
  </si>
  <si>
    <t>gm. Nowe Miasto Lubawskie</t>
  </si>
  <si>
    <t>gm. Kowale Oleckie</t>
  </si>
  <si>
    <t>gm. Olecko</t>
  </si>
  <si>
    <t>gm. Świętajno</t>
  </si>
  <si>
    <t>gm. Wieliczki</t>
  </si>
  <si>
    <t>gm. Barczewo</t>
  </si>
  <si>
    <t>gm. Dobre Miasto</t>
  </si>
  <si>
    <t>gm. Dywity</t>
  </si>
  <si>
    <t>gm. Gietrzwałd</t>
  </si>
  <si>
    <t>gm. Jeziorany</t>
  </si>
  <si>
    <t>gm. Jonkowo</t>
  </si>
  <si>
    <t>gm. Olsztynek</t>
  </si>
  <si>
    <t>gm. Purda</t>
  </si>
  <si>
    <t>gm. Stawiguda</t>
  </si>
  <si>
    <t>gm. Świątki</t>
  </si>
  <si>
    <t>m. Ostróda</t>
  </si>
  <si>
    <t>gm. Dąbrówno</t>
  </si>
  <si>
    <t>gm. Grunwald</t>
  </si>
  <si>
    <t>gm. Łukta</t>
  </si>
  <si>
    <t>gm. Małdyty</t>
  </si>
  <si>
    <t>gm. Miłakowo</t>
  </si>
  <si>
    <t>gm. Miłomłyn</t>
  </si>
  <si>
    <t>gm. Morąg</t>
  </si>
  <si>
    <t>gm. Ostróda</t>
  </si>
  <si>
    <t>gm. Biała Piska</t>
  </si>
  <si>
    <t>gm. Orzysz</t>
  </si>
  <si>
    <t>gm. Pisz</t>
  </si>
  <si>
    <t>gm. Ruciane-Nida</t>
  </si>
  <si>
    <t>m. Szczytno</t>
  </si>
  <si>
    <t>gm. Dźwierzuty</t>
  </si>
  <si>
    <t>gm. Jedwabno</t>
  </si>
  <si>
    <t>gm. Pasym</t>
  </si>
  <si>
    <t>gm. Rozogi</t>
  </si>
  <si>
    <t>gm. Szczytno</t>
  </si>
  <si>
    <t>gm. Wielbark</t>
  </si>
  <si>
    <t>gm. Banie Mazurskie</t>
  </si>
  <si>
    <t>gm. Dubeninki</t>
  </si>
  <si>
    <t>gm. Gołdap</t>
  </si>
  <si>
    <t>gm. Budry</t>
  </si>
  <si>
    <t>gm. Pozezdrze</t>
  </si>
  <si>
    <t>gm. Węgorzewo</t>
  </si>
  <si>
    <t>m. Elbląg</t>
  </si>
  <si>
    <t>m. Olsztyn</t>
  </si>
  <si>
    <t>wielkopolskie</t>
  </si>
  <si>
    <t>m. Chodzież</t>
  </si>
  <si>
    <t>gm. Budzyń</t>
  </si>
  <si>
    <t>gm. Chodzież</t>
  </si>
  <si>
    <t>gm. Margonin</t>
  </si>
  <si>
    <t>gm. Szamocin</t>
  </si>
  <si>
    <t>m. Czarnków</t>
  </si>
  <si>
    <t>gm. Czarnków</t>
  </si>
  <si>
    <t>gm. Drawsko</t>
  </si>
  <si>
    <t>gm. Krzyż Wielkopolski</t>
  </si>
  <si>
    <t>gm. Lubasz</t>
  </si>
  <si>
    <t>gm. Połajewo</t>
  </si>
  <si>
    <t>gm. Trzcianka</t>
  </si>
  <si>
    <t>gm. Wieleń</t>
  </si>
  <si>
    <t>m. Gniezno</t>
  </si>
  <si>
    <t>gm. Czerniejewo</t>
  </si>
  <si>
    <t>gm. Gniezno</t>
  </si>
  <si>
    <t>gm. Kiszkowo</t>
  </si>
  <si>
    <t>gm. Kłecko</t>
  </si>
  <si>
    <t>gm. Łubowo</t>
  </si>
  <si>
    <t>gm. Mieleszyn</t>
  </si>
  <si>
    <t>gm. Niechanowo</t>
  </si>
  <si>
    <t>gm. Trzemeszno</t>
  </si>
  <si>
    <t>gm. Witkowo</t>
  </si>
  <si>
    <t>gm. Borek Wielkopolski</t>
  </si>
  <si>
    <t>gm. Gostyń</t>
  </si>
  <si>
    <t>gm. Krobia</t>
  </si>
  <si>
    <t>gm. Pępowo</t>
  </si>
  <si>
    <t>gm. Pogorzela</t>
  </si>
  <si>
    <t>gm. Poniec</t>
  </si>
  <si>
    <t>gm. Granowo</t>
  </si>
  <si>
    <t>gm. Grodzisk Wielkopolski</t>
  </si>
  <si>
    <t>gm. Kamieniec</t>
  </si>
  <si>
    <t>gm. Rakoniewice</t>
  </si>
  <si>
    <t>gm. Wielichowo</t>
  </si>
  <si>
    <t>gm. Jaraczewo</t>
  </si>
  <si>
    <t>gm. Kotlin</t>
  </si>
  <si>
    <t>gm. Żerków</t>
  </si>
  <si>
    <t>gm. Blizanów</t>
  </si>
  <si>
    <t>gm. Ceków-Kolonia</t>
  </si>
  <si>
    <t>gm. Godziesze Wielkie</t>
  </si>
  <si>
    <t>gm. Koźminek</t>
  </si>
  <si>
    <t>gm. Lisków</t>
  </si>
  <si>
    <t>gm. Mycielin</t>
  </si>
  <si>
    <t>gm. Opatówek</t>
  </si>
  <si>
    <t>gm. Stawiszyn</t>
  </si>
  <si>
    <t>gm. Szczytniki</t>
  </si>
  <si>
    <t>gm. Żelazków</t>
  </si>
  <si>
    <t>gm. Bralin</t>
  </si>
  <si>
    <t>gm. Kępno</t>
  </si>
  <si>
    <t>gm. Łęka Opatowska</t>
  </si>
  <si>
    <t>gm. Perzów</t>
  </si>
  <si>
    <t>gm. Rychtal</t>
  </si>
  <si>
    <t>gm. Trzcinica</t>
  </si>
  <si>
    <t>m. Koło</t>
  </si>
  <si>
    <t>gm. Babiak</t>
  </si>
  <si>
    <t>gm. Chodów</t>
  </si>
  <si>
    <t>gm. Grzegorzew</t>
  </si>
  <si>
    <t>gm. Koło</t>
  </si>
  <si>
    <t>gm. Kościelec</t>
  </si>
  <si>
    <t>gm. Olszówka</t>
  </si>
  <si>
    <t>gm. Osiek Mały</t>
  </si>
  <si>
    <t>gm. Przedecz</t>
  </si>
  <si>
    <t>gm. Golina</t>
  </si>
  <si>
    <t>gm. Grodziec</t>
  </si>
  <si>
    <t>gm. Kazimierz Biskupi</t>
  </si>
  <si>
    <t>gm. Kleczew</t>
  </si>
  <si>
    <t>gm. Kramsk</t>
  </si>
  <si>
    <t>gm. Krzymów</t>
  </si>
  <si>
    <t>gm. Rychwał</t>
  </si>
  <si>
    <t>gm. Skulsk</t>
  </si>
  <si>
    <t>gm. Sompolno</t>
  </si>
  <si>
    <t>gm. Stare Miasto</t>
  </si>
  <si>
    <t>gm. Ślesin</t>
  </si>
  <si>
    <t>gm. Wierzbinek</t>
  </si>
  <si>
    <t>gm. Wilczyn</t>
  </si>
  <si>
    <t>m. Kościan</t>
  </si>
  <si>
    <t>gm. Czempiń</t>
  </si>
  <si>
    <t>gm. Kościan</t>
  </si>
  <si>
    <t>gm. Krzywiń</t>
  </si>
  <si>
    <t>gm. Śmigiel</t>
  </si>
  <si>
    <t>m. Sulmierzyce</t>
  </si>
  <si>
    <t>gm. Kobylin</t>
  </si>
  <si>
    <t>gm. Koźmin Wielkopolski</t>
  </si>
  <si>
    <t>gm. Krotoszyn</t>
  </si>
  <si>
    <t>gm. Rozdrażew</t>
  </si>
  <si>
    <t>gm. Krzemieniewo</t>
  </si>
  <si>
    <t>gm. Rydzyna</t>
  </si>
  <si>
    <t>gm. Święciechowa</t>
  </si>
  <si>
    <t>gm. Wijewo</t>
  </si>
  <si>
    <t>gm. Włoszakowice</t>
  </si>
  <si>
    <t>gm. Chrzypsko Wielkie</t>
  </si>
  <si>
    <t>gm. Kwilcz</t>
  </si>
  <si>
    <t>gm. Międzychód</t>
  </si>
  <si>
    <t>gm. Sieraków</t>
  </si>
  <si>
    <t>gm. Kuślin</t>
  </si>
  <si>
    <t>gm. Lwówek</t>
  </si>
  <si>
    <t>gm. Miedzichowo</t>
  </si>
  <si>
    <t>gm. Nowy Tomyśl</t>
  </si>
  <si>
    <t>gm. Opalenica</t>
  </si>
  <si>
    <t>gm. Zbąszyń</t>
  </si>
  <si>
    <t>gm. Oborniki</t>
  </si>
  <si>
    <t>gm. Rogoźno</t>
  </si>
  <si>
    <t>gm. Ryczywół</t>
  </si>
  <si>
    <t>m. Ostrów Wielkopolski</t>
  </si>
  <si>
    <t>gm. Nowe Skalmierzyce</t>
  </si>
  <si>
    <t>gm. Odolanów</t>
  </si>
  <si>
    <t>gm. Ostrów Wielkopolski</t>
  </si>
  <si>
    <t>gm. Przygodzice</t>
  </si>
  <si>
    <t>gm. Raszków</t>
  </si>
  <si>
    <t>gm. Sieroszewice</t>
  </si>
  <si>
    <t>gm. Sośnie</t>
  </si>
  <si>
    <t>gm. Czajków</t>
  </si>
  <si>
    <t>gm. Doruchów</t>
  </si>
  <si>
    <t>gm. Grabów nad Prosną</t>
  </si>
  <si>
    <t>gm. Kobyla Góra</t>
  </si>
  <si>
    <t>gm. Kraszewice</t>
  </si>
  <si>
    <t>gm. Mikstat</t>
  </si>
  <si>
    <t>gm. Ostrzeszów</t>
  </si>
  <si>
    <t>m. Piła</t>
  </si>
  <si>
    <t>gm. Białośliwie</t>
  </si>
  <si>
    <t>gm. Kaczory</t>
  </si>
  <si>
    <t>gm. Łobżenica</t>
  </si>
  <si>
    <t>gm. Miasteczko Krajeńskie</t>
  </si>
  <si>
    <t>gm. Ujście</t>
  </si>
  <si>
    <t>gm. Wyrzysk</t>
  </si>
  <si>
    <t>gm. Wysoka</t>
  </si>
  <si>
    <t>gm. Chocz</t>
  </si>
  <si>
    <t>gm. Dobrzyca</t>
  </si>
  <si>
    <t>gm. Gizałki</t>
  </si>
  <si>
    <t>gm. Gołuchów</t>
  </si>
  <si>
    <t>gm. Pleszew</t>
  </si>
  <si>
    <t>m. Luboń</t>
  </si>
  <si>
    <t>m. Puszczykowo</t>
  </si>
  <si>
    <t>gm. Buk</t>
  </si>
  <si>
    <t>gm. Czerwonak</t>
  </si>
  <si>
    <t>gm. Dopiewo</t>
  </si>
  <si>
    <t>gm. Kleszczewo</t>
  </si>
  <si>
    <t>gm. Komorniki</t>
  </si>
  <si>
    <t>gm. Kostrzyn</t>
  </si>
  <si>
    <t>gm. Kórnik</t>
  </si>
  <si>
    <t>gm. Mosina</t>
  </si>
  <si>
    <t>gm. Murowana Goślina</t>
  </si>
  <si>
    <t>gm. Pobiedziska</t>
  </si>
  <si>
    <t>gm. Stęszew</t>
  </si>
  <si>
    <t>gm. Suchy Las</t>
  </si>
  <si>
    <t>gm. Swarzędz</t>
  </si>
  <si>
    <t>gm. Tarnowo Podgórne</t>
  </si>
  <si>
    <t>gm. Bojanowo</t>
  </si>
  <si>
    <t>gm. Jutrosin</t>
  </si>
  <si>
    <t>gm. Miejska Górka</t>
  </si>
  <si>
    <t>gm. Pakosław</t>
  </si>
  <si>
    <t>gm. Rawicz</t>
  </si>
  <si>
    <t>m. Słupca</t>
  </si>
  <si>
    <t>gm. Lądek</t>
  </si>
  <si>
    <t>gm. Orchowo</t>
  </si>
  <si>
    <t>gm. Ostrowite</t>
  </si>
  <si>
    <t>gm. Powidz</t>
  </si>
  <si>
    <t>gm. Słupca</t>
  </si>
  <si>
    <t>gm. Strzałkowo</t>
  </si>
  <si>
    <t>gm. Zagórów</t>
  </si>
  <si>
    <t>m. Obrzycko</t>
  </si>
  <si>
    <t>gm. Duszniki</t>
  </si>
  <si>
    <t>gm. Kaźmierz</t>
  </si>
  <si>
    <t>gm. Obrzycko</t>
  </si>
  <si>
    <t>gm. Ostroróg</t>
  </si>
  <si>
    <t>gm. Szamotuły</t>
  </si>
  <si>
    <t>gm. Wronki</t>
  </si>
  <si>
    <t>gm. Dominowo</t>
  </si>
  <si>
    <t>gm. Krzykosy</t>
  </si>
  <si>
    <t>gm. Nowe Miasto nad Wartą</t>
  </si>
  <si>
    <t>gm. Środa Wielkopolska</t>
  </si>
  <si>
    <t>gm. Zaniemyśl</t>
  </si>
  <si>
    <t>gm. Dolsk</t>
  </si>
  <si>
    <t>gm. Książ Wielkopolski</t>
  </si>
  <si>
    <t>gm. Śrem</t>
  </si>
  <si>
    <t>m. Turek</t>
  </si>
  <si>
    <t>gm. Brudzew</t>
  </si>
  <si>
    <t>gm. Kawęczyn</t>
  </si>
  <si>
    <t>gm. Malanów</t>
  </si>
  <si>
    <t>gm. Przykona</t>
  </si>
  <si>
    <t>gm. Tuliszków</t>
  </si>
  <si>
    <t>gm. Turek</t>
  </si>
  <si>
    <t>gm. Władysławów</t>
  </si>
  <si>
    <t>m. Wągrowiec</t>
  </si>
  <si>
    <t>gm. Damasławek</t>
  </si>
  <si>
    <t>gm. Gołańcz</t>
  </si>
  <si>
    <t>gm. Mieścisko</t>
  </si>
  <si>
    <t>gm. Skoki</t>
  </si>
  <si>
    <t>gm. Wapno</t>
  </si>
  <si>
    <t>gm. Wągrowiec</t>
  </si>
  <si>
    <t>gm. Przemęt</t>
  </si>
  <si>
    <t>gm. Siedlec</t>
  </si>
  <si>
    <t>gm. Wolsztyn</t>
  </si>
  <si>
    <t>gm. Kołaczkowo</t>
  </si>
  <si>
    <t>gm. Miłosław</t>
  </si>
  <si>
    <t>gm. Nekla</t>
  </si>
  <si>
    <t>gm. Pyzdry</t>
  </si>
  <si>
    <t>gm. Września</t>
  </si>
  <si>
    <t>m. Złotów</t>
  </si>
  <si>
    <t>gm. Jastrowie</t>
  </si>
  <si>
    <t>gm. Krajenka</t>
  </si>
  <si>
    <t>gm. Lipka</t>
  </si>
  <si>
    <t>gm. Okonek</t>
  </si>
  <si>
    <t>gm. Tarnówka</t>
  </si>
  <si>
    <t>gm. Złotów</t>
  </si>
  <si>
    <t>m. Kalisz</t>
  </si>
  <si>
    <t>m. Konin</t>
  </si>
  <si>
    <t>m. Leszno</t>
  </si>
  <si>
    <t>m. Poznań</t>
  </si>
  <si>
    <t>zachodniopomorskie</t>
  </si>
  <si>
    <t>m. Białogard</t>
  </si>
  <si>
    <t>gm. Białogard</t>
  </si>
  <si>
    <t>gm. Karlino</t>
  </si>
  <si>
    <t>gm. Tychowo</t>
  </si>
  <si>
    <t>gm. Bierzwnik</t>
  </si>
  <si>
    <t>gm. Choszczno</t>
  </si>
  <si>
    <t>gm. Drawno</t>
  </si>
  <si>
    <t>gm. Krzęcin</t>
  </si>
  <si>
    <t>gm. Pełczyce</t>
  </si>
  <si>
    <t>gm. Recz</t>
  </si>
  <si>
    <t>gm. Czaplinek</t>
  </si>
  <si>
    <t>gm. Drawsko Pomorskie</t>
  </si>
  <si>
    <t>gm. Kalisz Pomorski</t>
  </si>
  <si>
    <t>gm. Wierzchowo</t>
  </si>
  <si>
    <t>gm. Złocieniec</t>
  </si>
  <si>
    <t>gm. Goleniów</t>
  </si>
  <si>
    <t>gm. Nowogard</t>
  </si>
  <si>
    <t>gm. Osina</t>
  </si>
  <si>
    <t>gm. Przybiernów</t>
  </si>
  <si>
    <t>gm. Stepnica</t>
  </si>
  <si>
    <t>gm. Brojce</t>
  </si>
  <si>
    <t>gm. Gryfice</t>
  </si>
  <si>
    <t>gm. Karnice</t>
  </si>
  <si>
    <t>gm. Płoty</t>
  </si>
  <si>
    <t>gm. Rewal</t>
  </si>
  <si>
    <t>gm. Trzebiatów</t>
  </si>
  <si>
    <t>gm. Banie</t>
  </si>
  <si>
    <t>gm. Cedynia</t>
  </si>
  <si>
    <t>gm. Chojna</t>
  </si>
  <si>
    <t>gm. Gryfino</t>
  </si>
  <si>
    <t>gm. Mieszkowice</t>
  </si>
  <si>
    <t>gm. Moryń</t>
  </si>
  <si>
    <t>gm. Stare Czarnowo</t>
  </si>
  <si>
    <t>gm. Trzcińsko-Zdrój</t>
  </si>
  <si>
    <t>gm. Widuchowa</t>
  </si>
  <si>
    <t>gm. Dziwnów</t>
  </si>
  <si>
    <t>gm. Golczewo</t>
  </si>
  <si>
    <t>gm. Kamień Pomorski</t>
  </si>
  <si>
    <t>gm. Międzyzdroje</t>
  </si>
  <si>
    <t>gm. Świerzno</t>
  </si>
  <si>
    <t>gm. Wolin</t>
  </si>
  <si>
    <t>m. Kołobrzeg</t>
  </si>
  <si>
    <t>gm. Dygowo</t>
  </si>
  <si>
    <t>gm. Gościno</t>
  </si>
  <si>
    <t>gm. Kołobrzeg</t>
  </si>
  <si>
    <t>gm. Rymań</t>
  </si>
  <si>
    <t>gm. Siemyśl</t>
  </si>
  <si>
    <t>gm. Ustronie Morskie</t>
  </si>
  <si>
    <t>gm. Będzino</t>
  </si>
  <si>
    <t>gm. Biesiekierz</t>
  </si>
  <si>
    <t>gm. Bobolice</t>
  </si>
  <si>
    <t>gm. Manowo</t>
  </si>
  <si>
    <t>gm. Mielno</t>
  </si>
  <si>
    <t>gm. Polanów</t>
  </si>
  <si>
    <t>gm. Sianów</t>
  </si>
  <si>
    <t>gm. Świeszyno</t>
  </si>
  <si>
    <t>gm. Barlinek</t>
  </si>
  <si>
    <t>gm. Boleszkowice</t>
  </si>
  <si>
    <t>gm. Myślibórz</t>
  </si>
  <si>
    <t>gm. Nowogródek Pomorski</t>
  </si>
  <si>
    <t>gm. Dobra (Szczecińska)</t>
  </si>
  <si>
    <t>gm. Kołbaskowo</t>
  </si>
  <si>
    <t>gm. Nowe Warpno</t>
  </si>
  <si>
    <t>gm. Police</t>
  </si>
  <si>
    <t>gm. Bielice</t>
  </si>
  <si>
    <t>gm. Kozielice</t>
  </si>
  <si>
    <t>gm. Lipiany</t>
  </si>
  <si>
    <t>gm. Przelewice</t>
  </si>
  <si>
    <t>gm. Pyrzyce</t>
  </si>
  <si>
    <t>gm. Warnice</t>
  </si>
  <si>
    <t>m. Darłowo</t>
  </si>
  <si>
    <t>m. Sławno</t>
  </si>
  <si>
    <t>gm. Darłowo</t>
  </si>
  <si>
    <t>gm. Malechowo</t>
  </si>
  <si>
    <t>gm. Postomino</t>
  </si>
  <si>
    <t>m. Stargard</t>
  </si>
  <si>
    <t>gm. Chociwel</t>
  </si>
  <si>
    <t>gm. Dobrzany</t>
  </si>
  <si>
    <t>gm. Dolice</t>
  </si>
  <si>
    <t>gm. Ińsko</t>
  </si>
  <si>
    <t>gm. Kobylanka</t>
  </si>
  <si>
    <t>gm. Marianowo</t>
  </si>
  <si>
    <t>gm. Stara Dąbrowa</t>
  </si>
  <si>
    <t>gm. Stargard</t>
  </si>
  <si>
    <t>gm. Suchań</t>
  </si>
  <si>
    <t>m. Szczecinek</t>
  </si>
  <si>
    <t>gm. Barwice</t>
  </si>
  <si>
    <t>gm. Biały Bór</t>
  </si>
  <si>
    <t>gm. Borne Sulinowo</t>
  </si>
  <si>
    <t>gm. Grzmiąca</t>
  </si>
  <si>
    <t>gm. Szczecinek</t>
  </si>
  <si>
    <t>m. Świdwin</t>
  </si>
  <si>
    <t>gm. Brzeżno</t>
  </si>
  <si>
    <t>gm. Połczyn-Zdrój</t>
  </si>
  <si>
    <t>gm. Rąbino</t>
  </si>
  <si>
    <t>gm. Sławoborze</t>
  </si>
  <si>
    <t>gm. Świdwin</t>
  </si>
  <si>
    <t>m. Wałcz</t>
  </si>
  <si>
    <t>gm. Człopa</t>
  </si>
  <si>
    <t>gm. Mirosławiec</t>
  </si>
  <si>
    <t>gm. Tuczno</t>
  </si>
  <si>
    <t>gm. Wałcz</t>
  </si>
  <si>
    <t>gm. Łobez</t>
  </si>
  <si>
    <t>gm. Radowo Małe</t>
  </si>
  <si>
    <t>gm. Resko</t>
  </si>
  <si>
    <t>gm. Węgorzyno</t>
  </si>
  <si>
    <t>m. Koszalin</t>
  </si>
  <si>
    <t>m. Szczecin</t>
  </si>
  <si>
    <t>m. Świnoujście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</si>
</sst>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0" fontId="0" fillId="0" borderId="0" xfId="0" applyNumberForma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95"/>
  <sheetViews>
    <sheetView tabSelected="1" workbookViewId="0"/>
  </sheetViews>
  <sheetFormatPr defaultRowHeight="14.5" x14ac:dyDescent="0.35"/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5">
      <c r="A2" t="s">
        <v>9</v>
      </c>
      <c r="B2" t="s">
        <v>10</v>
      </c>
      <c r="C2" t="s">
        <v>11</v>
      </c>
      <c r="D2" t="str">
        <f>"020101"</f>
        <v>020101</v>
      </c>
      <c r="E2">
        <v>27919</v>
      </c>
      <c r="F2">
        <v>15971</v>
      </c>
      <c r="G2" s="1">
        <v>0.57199999999999995</v>
      </c>
      <c r="H2">
        <v>21</v>
      </c>
      <c r="I2">
        <v>27657</v>
      </c>
    </row>
    <row r="3" spans="1:9" x14ac:dyDescent="0.35">
      <c r="A3" t="s">
        <v>9</v>
      </c>
      <c r="B3" t="s">
        <v>10</v>
      </c>
      <c r="C3" t="s">
        <v>12</v>
      </c>
      <c r="D3" t="str">
        <f>"020102"</f>
        <v>020102</v>
      </c>
      <c r="E3">
        <v>11216</v>
      </c>
      <c r="F3">
        <v>6532</v>
      </c>
      <c r="G3" s="1">
        <v>0.58240000000000003</v>
      </c>
      <c r="H3">
        <v>21</v>
      </c>
      <c r="I3">
        <v>11155</v>
      </c>
    </row>
    <row r="4" spans="1:9" x14ac:dyDescent="0.35">
      <c r="A4" t="s">
        <v>9</v>
      </c>
      <c r="B4" t="s">
        <v>10</v>
      </c>
      <c r="C4" t="s">
        <v>13</v>
      </c>
      <c r="D4" t="str">
        <f>"020103"</f>
        <v>020103</v>
      </c>
      <c r="E4">
        <v>4054</v>
      </c>
      <c r="F4">
        <v>2109</v>
      </c>
      <c r="G4" s="1">
        <v>0.5202</v>
      </c>
      <c r="H4">
        <v>6</v>
      </c>
      <c r="I4">
        <v>4028</v>
      </c>
    </row>
    <row r="5" spans="1:9" x14ac:dyDescent="0.35">
      <c r="A5" t="s">
        <v>9</v>
      </c>
      <c r="B5" t="s">
        <v>10</v>
      </c>
      <c r="C5" t="s">
        <v>14</v>
      </c>
      <c r="D5" t="str">
        <f>"020104"</f>
        <v>020104</v>
      </c>
      <c r="E5">
        <v>11031</v>
      </c>
      <c r="F5">
        <v>5394</v>
      </c>
      <c r="G5" s="1">
        <v>0.48899999999999999</v>
      </c>
      <c r="H5">
        <v>12</v>
      </c>
      <c r="I5">
        <v>11001</v>
      </c>
    </row>
    <row r="6" spans="1:9" x14ac:dyDescent="0.35">
      <c r="A6" t="s">
        <v>9</v>
      </c>
      <c r="B6" t="s">
        <v>10</v>
      </c>
      <c r="C6" t="s">
        <v>15</v>
      </c>
      <c r="D6" t="str">
        <f>"020105"</f>
        <v>020105</v>
      </c>
      <c r="E6">
        <v>5157</v>
      </c>
      <c r="F6">
        <v>2666</v>
      </c>
      <c r="G6" s="1">
        <v>0.51700000000000002</v>
      </c>
      <c r="H6">
        <v>7</v>
      </c>
      <c r="I6">
        <v>5128</v>
      </c>
    </row>
    <row r="7" spans="1:9" x14ac:dyDescent="0.35">
      <c r="A7" t="s">
        <v>9</v>
      </c>
      <c r="B7" t="s">
        <v>10</v>
      </c>
      <c r="C7" t="s">
        <v>16</v>
      </c>
      <c r="D7" t="str">
        <f>"020106"</f>
        <v>020106</v>
      </c>
      <c r="E7">
        <v>6353</v>
      </c>
      <c r="F7">
        <v>3417</v>
      </c>
      <c r="G7" s="1">
        <v>0.53790000000000004</v>
      </c>
      <c r="H7">
        <v>10</v>
      </c>
      <c r="I7">
        <v>6339</v>
      </c>
    </row>
    <row r="8" spans="1:9" x14ac:dyDescent="0.35">
      <c r="A8" t="s">
        <v>9</v>
      </c>
      <c r="B8" t="s">
        <v>10</v>
      </c>
      <c r="C8" t="s">
        <v>17</v>
      </c>
      <c r="D8" t="str">
        <f>"020201"</f>
        <v>020201</v>
      </c>
      <c r="E8">
        <v>21780</v>
      </c>
      <c r="F8">
        <v>12005</v>
      </c>
      <c r="G8" s="1">
        <v>0.55120000000000002</v>
      </c>
      <c r="H8">
        <v>21</v>
      </c>
      <c r="I8">
        <v>21703</v>
      </c>
    </row>
    <row r="9" spans="1:9" x14ac:dyDescent="0.35">
      <c r="A9" t="s">
        <v>9</v>
      </c>
      <c r="B9" t="s">
        <v>10</v>
      </c>
      <c r="C9" t="s">
        <v>18</v>
      </c>
      <c r="D9" t="str">
        <f>"020202"</f>
        <v>020202</v>
      </c>
      <c r="E9">
        <v>23542</v>
      </c>
      <c r="F9">
        <v>13648</v>
      </c>
      <c r="G9" s="1">
        <v>0.57969999999999999</v>
      </c>
      <c r="H9">
        <v>21</v>
      </c>
      <c r="I9">
        <v>23444</v>
      </c>
    </row>
    <row r="10" spans="1:9" x14ac:dyDescent="0.35">
      <c r="A10" t="s">
        <v>9</v>
      </c>
      <c r="B10" t="s">
        <v>10</v>
      </c>
      <c r="C10" t="s">
        <v>19</v>
      </c>
      <c r="D10" t="str">
        <f>"020203"</f>
        <v>020203</v>
      </c>
      <c r="E10">
        <v>6831</v>
      </c>
      <c r="F10">
        <v>3530</v>
      </c>
      <c r="G10" s="1">
        <v>0.51680000000000004</v>
      </c>
      <c r="H10">
        <v>8</v>
      </c>
      <c r="I10">
        <v>6787</v>
      </c>
    </row>
    <row r="11" spans="1:9" x14ac:dyDescent="0.35">
      <c r="A11" t="s">
        <v>9</v>
      </c>
      <c r="B11" t="s">
        <v>10</v>
      </c>
      <c r="C11" t="s">
        <v>20</v>
      </c>
      <c r="D11" t="str">
        <f>"020204"</f>
        <v>020204</v>
      </c>
      <c r="E11">
        <v>4522</v>
      </c>
      <c r="F11">
        <v>1985</v>
      </c>
      <c r="G11" s="1">
        <v>0.439</v>
      </c>
      <c r="H11">
        <v>3</v>
      </c>
      <c r="I11">
        <v>4521</v>
      </c>
    </row>
    <row r="12" spans="1:9" x14ac:dyDescent="0.35">
      <c r="A12" t="s">
        <v>9</v>
      </c>
      <c r="B12" t="s">
        <v>10</v>
      </c>
      <c r="C12" t="s">
        <v>21</v>
      </c>
      <c r="D12" t="str">
        <f>"020205"</f>
        <v>020205</v>
      </c>
      <c r="E12">
        <v>6936</v>
      </c>
      <c r="F12">
        <v>3746</v>
      </c>
      <c r="G12" s="1">
        <v>0.54010000000000002</v>
      </c>
      <c r="H12">
        <v>14</v>
      </c>
      <c r="I12">
        <v>6917</v>
      </c>
    </row>
    <row r="13" spans="1:9" x14ac:dyDescent="0.35">
      <c r="A13" t="s">
        <v>9</v>
      </c>
      <c r="B13" t="s">
        <v>10</v>
      </c>
      <c r="C13" t="s">
        <v>22</v>
      </c>
      <c r="D13" t="str">
        <f>"020206"</f>
        <v>020206</v>
      </c>
      <c r="E13">
        <v>5789</v>
      </c>
      <c r="F13">
        <v>3419</v>
      </c>
      <c r="G13" s="1">
        <v>0.59060000000000001</v>
      </c>
      <c r="H13">
        <v>10</v>
      </c>
      <c r="I13">
        <v>5713</v>
      </c>
    </row>
    <row r="14" spans="1:9" x14ac:dyDescent="0.35">
      <c r="A14" t="s">
        <v>9</v>
      </c>
      <c r="B14" t="s">
        <v>10</v>
      </c>
      <c r="C14" t="s">
        <v>23</v>
      </c>
      <c r="D14" t="str">
        <f>"020207"</f>
        <v>020207</v>
      </c>
      <c r="E14">
        <v>4068</v>
      </c>
      <c r="F14">
        <v>2081</v>
      </c>
      <c r="G14" s="1">
        <v>0.51160000000000005</v>
      </c>
      <c r="H14">
        <v>7</v>
      </c>
      <c r="I14">
        <v>4044</v>
      </c>
    </row>
    <row r="15" spans="1:9" x14ac:dyDescent="0.35">
      <c r="A15" t="s">
        <v>9</v>
      </c>
      <c r="B15" t="s">
        <v>10</v>
      </c>
      <c r="C15" t="s">
        <v>24</v>
      </c>
      <c r="D15" t="str">
        <f>"020301"</f>
        <v>020301</v>
      </c>
      <c r="E15">
        <v>46708</v>
      </c>
      <c r="F15">
        <v>26500</v>
      </c>
      <c r="G15" s="1">
        <v>0.56740000000000002</v>
      </c>
      <c r="H15">
        <v>33</v>
      </c>
      <c r="I15">
        <v>46451</v>
      </c>
    </row>
    <row r="16" spans="1:9" x14ac:dyDescent="0.35">
      <c r="A16" t="s">
        <v>9</v>
      </c>
      <c r="B16" t="s">
        <v>10</v>
      </c>
      <c r="C16" t="s">
        <v>25</v>
      </c>
      <c r="D16" t="str">
        <f>"020302"</f>
        <v>020302</v>
      </c>
      <c r="E16">
        <v>5282</v>
      </c>
      <c r="F16">
        <v>3168</v>
      </c>
      <c r="G16" s="1">
        <v>0.5998</v>
      </c>
      <c r="H16">
        <v>4</v>
      </c>
      <c r="I16">
        <v>5231</v>
      </c>
    </row>
    <row r="17" spans="1:9" x14ac:dyDescent="0.35">
      <c r="A17" t="s">
        <v>9</v>
      </c>
      <c r="B17" t="s">
        <v>10</v>
      </c>
      <c r="C17" t="s">
        <v>26</v>
      </c>
      <c r="D17" t="str">
        <f>"020303"</f>
        <v>020303</v>
      </c>
      <c r="E17">
        <v>4128</v>
      </c>
      <c r="F17">
        <v>2526</v>
      </c>
      <c r="G17" s="1">
        <v>0.6119</v>
      </c>
      <c r="H17">
        <v>7</v>
      </c>
      <c r="I17">
        <v>4112</v>
      </c>
    </row>
    <row r="18" spans="1:9" x14ac:dyDescent="0.35">
      <c r="A18" t="s">
        <v>9</v>
      </c>
      <c r="B18" t="s">
        <v>10</v>
      </c>
      <c r="C18" t="s">
        <v>27</v>
      </c>
      <c r="D18" t="str">
        <f>"020304"</f>
        <v>020304</v>
      </c>
      <c r="E18">
        <v>3305</v>
      </c>
      <c r="F18">
        <v>1726</v>
      </c>
      <c r="G18" s="1">
        <v>0.5222</v>
      </c>
      <c r="H18">
        <v>5</v>
      </c>
      <c r="I18">
        <v>3283</v>
      </c>
    </row>
    <row r="19" spans="1:9" x14ac:dyDescent="0.35">
      <c r="A19" t="s">
        <v>9</v>
      </c>
      <c r="B19" t="s">
        <v>10</v>
      </c>
      <c r="C19" t="s">
        <v>28</v>
      </c>
      <c r="D19" t="str">
        <f>"020305"</f>
        <v>020305</v>
      </c>
      <c r="E19">
        <v>1607</v>
      </c>
      <c r="F19">
        <v>905</v>
      </c>
      <c r="G19" s="1">
        <v>0.56320000000000003</v>
      </c>
      <c r="H19">
        <v>3</v>
      </c>
      <c r="I19">
        <v>1596</v>
      </c>
    </row>
    <row r="20" spans="1:9" x14ac:dyDescent="0.35">
      <c r="A20" t="s">
        <v>9</v>
      </c>
      <c r="B20" t="s">
        <v>10</v>
      </c>
      <c r="C20" t="s">
        <v>29</v>
      </c>
      <c r="D20" t="str">
        <f>"020306"</f>
        <v>020306</v>
      </c>
      <c r="E20">
        <v>2553</v>
      </c>
      <c r="F20">
        <v>1402</v>
      </c>
      <c r="G20" s="1">
        <v>0.54920000000000002</v>
      </c>
      <c r="H20">
        <v>2</v>
      </c>
      <c r="I20">
        <v>2543</v>
      </c>
    </row>
    <row r="21" spans="1:9" x14ac:dyDescent="0.35">
      <c r="A21" t="s">
        <v>9</v>
      </c>
      <c r="B21" t="s">
        <v>10</v>
      </c>
      <c r="C21" t="s">
        <v>30</v>
      </c>
      <c r="D21" t="str">
        <f>"020401"</f>
        <v>020401</v>
      </c>
      <c r="E21">
        <v>14169</v>
      </c>
      <c r="F21">
        <v>7188</v>
      </c>
      <c r="G21" s="1">
        <v>0.50729999999999997</v>
      </c>
      <c r="H21">
        <v>13</v>
      </c>
      <c r="I21">
        <v>14063</v>
      </c>
    </row>
    <row r="22" spans="1:9" x14ac:dyDescent="0.35">
      <c r="A22" t="s">
        <v>9</v>
      </c>
      <c r="B22" t="s">
        <v>10</v>
      </c>
      <c r="C22" t="s">
        <v>31</v>
      </c>
      <c r="D22" t="str">
        <f>"020402"</f>
        <v>020402</v>
      </c>
      <c r="E22">
        <v>2194</v>
      </c>
      <c r="F22">
        <v>1119</v>
      </c>
      <c r="G22" s="1">
        <v>0.51</v>
      </c>
      <c r="H22">
        <v>4</v>
      </c>
      <c r="I22">
        <v>2179</v>
      </c>
    </row>
    <row r="23" spans="1:9" x14ac:dyDescent="0.35">
      <c r="A23" t="s">
        <v>9</v>
      </c>
      <c r="B23" t="s">
        <v>10</v>
      </c>
      <c r="C23" t="s">
        <v>32</v>
      </c>
      <c r="D23" t="str">
        <f>"020403"</f>
        <v>020403</v>
      </c>
      <c r="E23">
        <v>3528</v>
      </c>
      <c r="F23">
        <v>1941</v>
      </c>
      <c r="G23" s="1">
        <v>0.55020000000000002</v>
      </c>
      <c r="H23">
        <v>4</v>
      </c>
      <c r="I23">
        <v>3486</v>
      </c>
    </row>
    <row r="24" spans="1:9" x14ac:dyDescent="0.35">
      <c r="A24" t="s">
        <v>9</v>
      </c>
      <c r="B24" t="s">
        <v>10</v>
      </c>
      <c r="C24" t="s">
        <v>33</v>
      </c>
      <c r="D24" t="str">
        <f>"020404"</f>
        <v>020404</v>
      </c>
      <c r="E24">
        <v>5395</v>
      </c>
      <c r="F24">
        <v>2809</v>
      </c>
      <c r="G24" s="1">
        <v>0.52070000000000005</v>
      </c>
      <c r="H24">
        <v>8</v>
      </c>
      <c r="I24">
        <v>5369</v>
      </c>
    </row>
    <row r="25" spans="1:9" x14ac:dyDescent="0.35">
      <c r="A25" t="s">
        <v>9</v>
      </c>
      <c r="B25" t="s">
        <v>10</v>
      </c>
      <c r="C25" t="s">
        <v>34</v>
      </c>
      <c r="D25" t="str">
        <f>"020501"</f>
        <v>020501</v>
      </c>
      <c r="E25">
        <v>16314</v>
      </c>
      <c r="F25">
        <v>9123</v>
      </c>
      <c r="G25" s="1">
        <v>0.55920000000000003</v>
      </c>
      <c r="H25">
        <v>12</v>
      </c>
      <c r="I25">
        <v>16240</v>
      </c>
    </row>
    <row r="26" spans="1:9" x14ac:dyDescent="0.35">
      <c r="A26" t="s">
        <v>9</v>
      </c>
      <c r="B26" t="s">
        <v>10</v>
      </c>
      <c r="C26" t="s">
        <v>35</v>
      </c>
      <c r="D26" t="str">
        <f>"020502"</f>
        <v>020502</v>
      </c>
      <c r="E26">
        <v>7559</v>
      </c>
      <c r="F26">
        <v>3886</v>
      </c>
      <c r="G26" s="1">
        <v>0.5141</v>
      </c>
      <c r="H26">
        <v>12</v>
      </c>
      <c r="I26">
        <v>7514</v>
      </c>
    </row>
    <row r="27" spans="1:9" x14ac:dyDescent="0.35">
      <c r="A27" t="s">
        <v>9</v>
      </c>
      <c r="B27" t="s">
        <v>10</v>
      </c>
      <c r="C27" t="s">
        <v>36</v>
      </c>
      <c r="D27" t="str">
        <f>"020503"</f>
        <v>020503</v>
      </c>
      <c r="E27">
        <v>3914</v>
      </c>
      <c r="F27">
        <v>2239</v>
      </c>
      <c r="G27" s="1">
        <v>0.57199999999999995</v>
      </c>
      <c r="H27">
        <v>10</v>
      </c>
      <c r="I27">
        <v>3894</v>
      </c>
    </row>
    <row r="28" spans="1:9" x14ac:dyDescent="0.35">
      <c r="A28" t="s">
        <v>9</v>
      </c>
      <c r="B28" t="s">
        <v>10</v>
      </c>
      <c r="C28" t="s">
        <v>37</v>
      </c>
      <c r="D28" t="str">
        <f>"020504"</f>
        <v>020504</v>
      </c>
      <c r="E28">
        <v>2995</v>
      </c>
      <c r="F28">
        <v>1613</v>
      </c>
      <c r="G28" s="1">
        <v>0.53859999999999997</v>
      </c>
      <c r="H28">
        <v>3</v>
      </c>
      <c r="I28">
        <v>2981</v>
      </c>
    </row>
    <row r="29" spans="1:9" x14ac:dyDescent="0.35">
      <c r="A29" t="s">
        <v>9</v>
      </c>
      <c r="B29" t="s">
        <v>10</v>
      </c>
      <c r="C29" t="s">
        <v>38</v>
      </c>
      <c r="D29" t="str">
        <f>"020505"</f>
        <v>020505</v>
      </c>
      <c r="E29">
        <v>3146</v>
      </c>
      <c r="F29">
        <v>1702</v>
      </c>
      <c r="G29" s="1">
        <v>0.54100000000000004</v>
      </c>
      <c r="H29">
        <v>3</v>
      </c>
      <c r="I29">
        <v>3142</v>
      </c>
    </row>
    <row r="30" spans="1:9" x14ac:dyDescent="0.35">
      <c r="A30" t="s">
        <v>9</v>
      </c>
      <c r="B30" t="s">
        <v>10</v>
      </c>
      <c r="C30" t="s">
        <v>39</v>
      </c>
      <c r="D30" t="str">
        <f>"020506"</f>
        <v>020506</v>
      </c>
      <c r="E30">
        <v>3001</v>
      </c>
      <c r="F30">
        <v>1642</v>
      </c>
      <c r="G30" s="1">
        <v>0.54720000000000002</v>
      </c>
      <c r="H30">
        <v>2</v>
      </c>
      <c r="I30">
        <v>2967</v>
      </c>
    </row>
    <row r="31" spans="1:9" x14ac:dyDescent="0.35">
      <c r="A31" t="s">
        <v>9</v>
      </c>
      <c r="B31" t="s">
        <v>10</v>
      </c>
      <c r="C31" t="s">
        <v>40</v>
      </c>
      <c r="D31" t="str">
        <f>"020601"</f>
        <v>020601</v>
      </c>
      <c r="E31">
        <v>4818</v>
      </c>
      <c r="F31">
        <v>3178</v>
      </c>
      <c r="G31" s="1">
        <v>0.65959999999999996</v>
      </c>
      <c r="H31">
        <v>5</v>
      </c>
      <c r="I31">
        <v>4050</v>
      </c>
    </row>
    <row r="32" spans="1:9" x14ac:dyDescent="0.35">
      <c r="A32" t="s">
        <v>9</v>
      </c>
      <c r="B32" t="s">
        <v>10</v>
      </c>
      <c r="C32" t="s">
        <v>41</v>
      </c>
      <c r="D32" t="str">
        <f>"020602"</f>
        <v>020602</v>
      </c>
      <c r="E32">
        <v>7377</v>
      </c>
      <c r="F32">
        <v>3920</v>
      </c>
      <c r="G32" s="1">
        <v>0.53139999999999998</v>
      </c>
      <c r="H32">
        <v>6</v>
      </c>
      <c r="I32">
        <v>7309</v>
      </c>
    </row>
    <row r="33" spans="1:9" x14ac:dyDescent="0.35">
      <c r="A33" t="s">
        <v>9</v>
      </c>
      <c r="B33" t="s">
        <v>10</v>
      </c>
      <c r="C33" t="s">
        <v>42</v>
      </c>
      <c r="D33" t="str">
        <f>"020603"</f>
        <v>020603</v>
      </c>
      <c r="E33">
        <v>4512</v>
      </c>
      <c r="F33">
        <v>2605</v>
      </c>
      <c r="G33" s="1">
        <v>0.57730000000000004</v>
      </c>
      <c r="H33">
        <v>4</v>
      </c>
      <c r="I33">
        <v>4457</v>
      </c>
    </row>
    <row r="34" spans="1:9" x14ac:dyDescent="0.35">
      <c r="A34" t="s">
        <v>9</v>
      </c>
      <c r="B34" t="s">
        <v>10</v>
      </c>
      <c r="C34" t="s">
        <v>43</v>
      </c>
      <c r="D34" t="str">
        <f>"020604"</f>
        <v>020604</v>
      </c>
      <c r="E34">
        <v>5320</v>
      </c>
      <c r="F34">
        <v>3337</v>
      </c>
      <c r="G34" s="1">
        <v>0.62729999999999997</v>
      </c>
      <c r="H34">
        <v>6</v>
      </c>
      <c r="I34">
        <v>4803</v>
      </c>
    </row>
    <row r="35" spans="1:9" x14ac:dyDescent="0.35">
      <c r="A35" t="s">
        <v>9</v>
      </c>
      <c r="B35" t="s">
        <v>10</v>
      </c>
      <c r="C35" t="s">
        <v>44</v>
      </c>
      <c r="D35" t="str">
        <f>"020605"</f>
        <v>020605</v>
      </c>
      <c r="E35">
        <v>3126</v>
      </c>
      <c r="F35">
        <v>1819</v>
      </c>
      <c r="G35" s="1">
        <v>0.58189999999999997</v>
      </c>
      <c r="H35">
        <v>5</v>
      </c>
      <c r="I35">
        <v>3085</v>
      </c>
    </row>
    <row r="36" spans="1:9" x14ac:dyDescent="0.35">
      <c r="A36" t="s">
        <v>9</v>
      </c>
      <c r="B36" t="s">
        <v>10</v>
      </c>
      <c r="C36" t="s">
        <v>45</v>
      </c>
      <c r="D36" t="str">
        <f>"020606"</f>
        <v>020606</v>
      </c>
      <c r="E36">
        <v>5835</v>
      </c>
      <c r="F36">
        <v>3347</v>
      </c>
      <c r="G36" s="1">
        <v>0.5736</v>
      </c>
      <c r="H36">
        <v>4</v>
      </c>
      <c r="I36">
        <v>5796</v>
      </c>
    </row>
    <row r="37" spans="1:9" x14ac:dyDescent="0.35">
      <c r="A37" t="s">
        <v>9</v>
      </c>
      <c r="B37" t="s">
        <v>10</v>
      </c>
      <c r="C37" t="s">
        <v>46</v>
      </c>
      <c r="D37" t="str">
        <f>"020607"</f>
        <v>020607</v>
      </c>
      <c r="E37">
        <v>7665</v>
      </c>
      <c r="F37">
        <v>4433</v>
      </c>
      <c r="G37" s="1">
        <v>0.57830000000000004</v>
      </c>
      <c r="H37">
        <v>8</v>
      </c>
      <c r="I37">
        <v>7563</v>
      </c>
    </row>
    <row r="38" spans="1:9" x14ac:dyDescent="0.35">
      <c r="A38" t="s">
        <v>9</v>
      </c>
      <c r="B38" t="s">
        <v>10</v>
      </c>
      <c r="C38" t="s">
        <v>47</v>
      </c>
      <c r="D38" t="str">
        <f>"020608"</f>
        <v>020608</v>
      </c>
      <c r="E38">
        <v>6356</v>
      </c>
      <c r="F38">
        <v>3748</v>
      </c>
      <c r="G38" s="1">
        <v>0.5897</v>
      </c>
      <c r="H38">
        <v>6</v>
      </c>
      <c r="I38">
        <v>6255</v>
      </c>
    </row>
    <row r="39" spans="1:9" x14ac:dyDescent="0.35">
      <c r="A39" t="s">
        <v>9</v>
      </c>
      <c r="B39" t="s">
        <v>10</v>
      </c>
      <c r="C39" t="s">
        <v>48</v>
      </c>
      <c r="D39" t="str">
        <f>"020609"</f>
        <v>020609</v>
      </c>
      <c r="E39">
        <v>4043</v>
      </c>
      <c r="F39">
        <v>2234</v>
      </c>
      <c r="G39" s="1">
        <v>0.55259999999999998</v>
      </c>
      <c r="H39">
        <v>5</v>
      </c>
      <c r="I39">
        <v>4012</v>
      </c>
    </row>
    <row r="40" spans="1:9" x14ac:dyDescent="0.35">
      <c r="A40" t="s">
        <v>9</v>
      </c>
      <c r="B40" t="s">
        <v>10</v>
      </c>
      <c r="C40" t="s">
        <v>49</v>
      </c>
      <c r="D40" t="str">
        <f>"020701"</f>
        <v>020701</v>
      </c>
      <c r="E40">
        <v>13262</v>
      </c>
      <c r="F40">
        <v>6828</v>
      </c>
      <c r="G40" s="1">
        <v>0.51490000000000002</v>
      </c>
      <c r="H40">
        <v>8</v>
      </c>
      <c r="I40">
        <v>13183</v>
      </c>
    </row>
    <row r="41" spans="1:9" x14ac:dyDescent="0.35">
      <c r="A41" t="s">
        <v>9</v>
      </c>
      <c r="B41" t="s">
        <v>10</v>
      </c>
      <c r="C41" t="s">
        <v>50</v>
      </c>
      <c r="D41" t="str">
        <f>"020702"</f>
        <v>020702</v>
      </c>
      <c r="E41">
        <v>6631</v>
      </c>
      <c r="F41">
        <v>3923</v>
      </c>
      <c r="G41" s="1">
        <v>0.59160000000000001</v>
      </c>
      <c r="H41">
        <v>14</v>
      </c>
      <c r="I41">
        <v>6576</v>
      </c>
    </row>
    <row r="42" spans="1:9" x14ac:dyDescent="0.35">
      <c r="A42" t="s">
        <v>9</v>
      </c>
      <c r="B42" t="s">
        <v>10</v>
      </c>
      <c r="C42" t="s">
        <v>51</v>
      </c>
      <c r="D42" t="str">
        <f>"020703"</f>
        <v>020703</v>
      </c>
      <c r="E42">
        <v>8115</v>
      </c>
      <c r="F42">
        <v>4283</v>
      </c>
      <c r="G42" s="1">
        <v>0.52780000000000005</v>
      </c>
      <c r="H42">
        <v>9</v>
      </c>
      <c r="I42">
        <v>8043</v>
      </c>
    </row>
    <row r="43" spans="1:9" x14ac:dyDescent="0.35">
      <c r="A43" t="s">
        <v>9</v>
      </c>
      <c r="B43" t="s">
        <v>10</v>
      </c>
      <c r="C43" t="s">
        <v>52</v>
      </c>
      <c r="D43" t="str">
        <f>"020704"</f>
        <v>020704</v>
      </c>
      <c r="E43">
        <v>3351</v>
      </c>
      <c r="F43">
        <v>1725</v>
      </c>
      <c r="G43" s="1">
        <v>0.51480000000000004</v>
      </c>
      <c r="H43">
        <v>7</v>
      </c>
      <c r="I43">
        <v>3330</v>
      </c>
    </row>
    <row r="44" spans="1:9" x14ac:dyDescent="0.35">
      <c r="A44" t="s">
        <v>9</v>
      </c>
      <c r="B44" t="s">
        <v>10</v>
      </c>
      <c r="C44" t="s">
        <v>53</v>
      </c>
      <c r="D44" t="str">
        <f>"020801"</f>
        <v>020801</v>
      </c>
      <c r="E44">
        <v>3881</v>
      </c>
      <c r="F44">
        <v>2478</v>
      </c>
      <c r="G44" s="1">
        <v>0.63849999999999996</v>
      </c>
      <c r="H44">
        <v>4</v>
      </c>
      <c r="I44">
        <v>3408</v>
      </c>
    </row>
    <row r="45" spans="1:9" x14ac:dyDescent="0.35">
      <c r="A45" t="s">
        <v>9</v>
      </c>
      <c r="B45" t="s">
        <v>10</v>
      </c>
      <c r="C45" t="s">
        <v>54</v>
      </c>
      <c r="D45" t="str">
        <f>"020802"</f>
        <v>020802</v>
      </c>
      <c r="E45">
        <v>18995</v>
      </c>
      <c r="F45">
        <v>10667</v>
      </c>
      <c r="G45" s="1">
        <v>0.56159999999999999</v>
      </c>
      <c r="H45">
        <v>17</v>
      </c>
      <c r="I45">
        <v>18868</v>
      </c>
    </row>
    <row r="46" spans="1:9" x14ac:dyDescent="0.35">
      <c r="A46" t="s">
        <v>9</v>
      </c>
      <c r="B46" t="s">
        <v>10</v>
      </c>
      <c r="C46" t="s">
        <v>55</v>
      </c>
      <c r="D46" t="str">
        <f>"020803"</f>
        <v>020803</v>
      </c>
      <c r="E46">
        <v>7968</v>
      </c>
      <c r="F46">
        <v>4599</v>
      </c>
      <c r="G46" s="1">
        <v>0.57720000000000005</v>
      </c>
      <c r="H46">
        <v>7</v>
      </c>
      <c r="I46">
        <v>7282</v>
      </c>
    </row>
    <row r="47" spans="1:9" x14ac:dyDescent="0.35">
      <c r="A47" t="s">
        <v>9</v>
      </c>
      <c r="B47" t="s">
        <v>10</v>
      </c>
      <c r="C47" t="s">
        <v>56</v>
      </c>
      <c r="D47" t="str">
        <f>"020804"</f>
        <v>020804</v>
      </c>
      <c r="E47">
        <v>15674</v>
      </c>
      <c r="F47">
        <v>7377</v>
      </c>
      <c r="G47" s="1">
        <v>0.47070000000000001</v>
      </c>
      <c r="H47">
        <v>12</v>
      </c>
      <c r="I47">
        <v>15619</v>
      </c>
    </row>
    <row r="48" spans="1:9" x14ac:dyDescent="0.35">
      <c r="A48" t="s">
        <v>9</v>
      </c>
      <c r="B48" t="s">
        <v>10</v>
      </c>
      <c r="C48" t="s">
        <v>57</v>
      </c>
      <c r="D48" t="str">
        <f>"020805"</f>
        <v>020805</v>
      </c>
      <c r="E48">
        <v>5552</v>
      </c>
      <c r="F48">
        <v>3349</v>
      </c>
      <c r="G48" s="1">
        <v>0.60319999999999996</v>
      </c>
      <c r="H48">
        <v>3</v>
      </c>
      <c r="I48">
        <v>4943</v>
      </c>
    </row>
    <row r="49" spans="1:9" x14ac:dyDescent="0.35">
      <c r="A49" t="s">
        <v>9</v>
      </c>
      <c r="B49" t="s">
        <v>10</v>
      </c>
      <c r="C49" t="s">
        <v>58</v>
      </c>
      <c r="D49" t="str">
        <f>"020806"</f>
        <v>020806</v>
      </c>
      <c r="E49">
        <v>13885</v>
      </c>
      <c r="F49">
        <v>7660</v>
      </c>
      <c r="G49" s="1">
        <v>0.55169999999999997</v>
      </c>
      <c r="H49">
        <v>17</v>
      </c>
      <c r="I49">
        <v>13581</v>
      </c>
    </row>
    <row r="50" spans="1:9" x14ac:dyDescent="0.35">
      <c r="A50" t="s">
        <v>9</v>
      </c>
      <c r="B50" t="s">
        <v>10</v>
      </c>
      <c r="C50" t="s">
        <v>59</v>
      </c>
      <c r="D50" t="str">
        <f>"020807"</f>
        <v>020807</v>
      </c>
      <c r="E50">
        <v>12731</v>
      </c>
      <c r="F50">
        <v>7012</v>
      </c>
      <c r="G50" s="1">
        <v>0.55079999999999996</v>
      </c>
      <c r="H50">
        <v>19</v>
      </c>
      <c r="I50">
        <v>12707</v>
      </c>
    </row>
    <row r="51" spans="1:9" x14ac:dyDescent="0.35">
      <c r="A51" t="s">
        <v>9</v>
      </c>
      <c r="B51" t="s">
        <v>10</v>
      </c>
      <c r="C51" t="s">
        <v>60</v>
      </c>
      <c r="D51" t="str">
        <f>"020808"</f>
        <v>020808</v>
      </c>
      <c r="E51">
        <v>6681</v>
      </c>
      <c r="F51">
        <v>3857</v>
      </c>
      <c r="G51" s="1">
        <v>0.57730000000000004</v>
      </c>
      <c r="H51">
        <v>9</v>
      </c>
      <c r="I51">
        <v>6137</v>
      </c>
    </row>
    <row r="52" spans="1:9" x14ac:dyDescent="0.35">
      <c r="A52" t="s">
        <v>9</v>
      </c>
      <c r="B52" t="s">
        <v>10</v>
      </c>
      <c r="C52" t="s">
        <v>61</v>
      </c>
      <c r="D52" t="str">
        <f>"020809"</f>
        <v>020809</v>
      </c>
      <c r="E52">
        <v>1579</v>
      </c>
      <c r="F52">
        <v>799</v>
      </c>
      <c r="G52" s="1">
        <v>0.50600000000000001</v>
      </c>
      <c r="H52">
        <v>2</v>
      </c>
      <c r="I52">
        <v>1520</v>
      </c>
    </row>
    <row r="53" spans="1:9" x14ac:dyDescent="0.35">
      <c r="A53" t="s">
        <v>9</v>
      </c>
      <c r="B53" t="s">
        <v>10</v>
      </c>
      <c r="C53" t="s">
        <v>62</v>
      </c>
      <c r="D53" t="str">
        <f>"020810"</f>
        <v>020810</v>
      </c>
      <c r="E53">
        <v>5434</v>
      </c>
      <c r="F53">
        <v>2762</v>
      </c>
      <c r="G53" s="1">
        <v>0.50829999999999997</v>
      </c>
      <c r="H53">
        <v>9</v>
      </c>
      <c r="I53">
        <v>5387</v>
      </c>
    </row>
    <row r="54" spans="1:9" x14ac:dyDescent="0.35">
      <c r="A54" t="s">
        <v>9</v>
      </c>
      <c r="B54" t="s">
        <v>10</v>
      </c>
      <c r="C54" t="s">
        <v>63</v>
      </c>
      <c r="D54" t="str">
        <f>"020811"</f>
        <v>020811</v>
      </c>
      <c r="E54">
        <v>8490</v>
      </c>
      <c r="F54">
        <v>4467</v>
      </c>
      <c r="G54" s="1">
        <v>0.52610000000000001</v>
      </c>
      <c r="H54">
        <v>15</v>
      </c>
      <c r="I54">
        <v>8446</v>
      </c>
    </row>
    <row r="55" spans="1:9" x14ac:dyDescent="0.35">
      <c r="A55" t="s">
        <v>9</v>
      </c>
      <c r="B55" t="s">
        <v>10</v>
      </c>
      <c r="C55" t="s">
        <v>64</v>
      </c>
      <c r="D55" t="str">
        <f>"020812"</f>
        <v>020812</v>
      </c>
      <c r="E55">
        <v>6638</v>
      </c>
      <c r="F55">
        <v>3131</v>
      </c>
      <c r="G55" s="1">
        <v>0.47170000000000001</v>
      </c>
      <c r="H55">
        <v>9</v>
      </c>
      <c r="I55">
        <v>6574</v>
      </c>
    </row>
    <row r="56" spans="1:9" x14ac:dyDescent="0.35">
      <c r="A56" t="s">
        <v>9</v>
      </c>
      <c r="B56" t="s">
        <v>10</v>
      </c>
      <c r="C56" t="s">
        <v>65</v>
      </c>
      <c r="D56" t="str">
        <f>"020813"</f>
        <v>020813</v>
      </c>
      <c r="E56">
        <v>5478</v>
      </c>
      <c r="F56">
        <v>2906</v>
      </c>
      <c r="G56" s="1">
        <v>0.53049999999999997</v>
      </c>
      <c r="H56">
        <v>6</v>
      </c>
      <c r="I56">
        <v>5380</v>
      </c>
    </row>
    <row r="57" spans="1:9" x14ac:dyDescent="0.35">
      <c r="A57" t="s">
        <v>9</v>
      </c>
      <c r="B57" t="s">
        <v>10</v>
      </c>
      <c r="C57" t="s">
        <v>66</v>
      </c>
      <c r="D57" t="str">
        <f>"020814"</f>
        <v>020814</v>
      </c>
      <c r="E57">
        <v>5449</v>
      </c>
      <c r="F57">
        <v>2986</v>
      </c>
      <c r="G57" s="1">
        <v>0.54800000000000004</v>
      </c>
      <c r="H57">
        <v>7</v>
      </c>
      <c r="I57">
        <v>5410</v>
      </c>
    </row>
    <row r="58" spans="1:9" x14ac:dyDescent="0.35">
      <c r="A58" t="s">
        <v>9</v>
      </c>
      <c r="B58" t="s">
        <v>10</v>
      </c>
      <c r="C58" t="s">
        <v>67</v>
      </c>
      <c r="D58" t="str">
        <f>"020901"</f>
        <v>020901</v>
      </c>
      <c r="E58">
        <v>9461</v>
      </c>
      <c r="F58">
        <v>4637</v>
      </c>
      <c r="G58" s="1">
        <v>0.49009999999999998</v>
      </c>
      <c r="H58">
        <v>6</v>
      </c>
      <c r="I58">
        <v>9427</v>
      </c>
    </row>
    <row r="59" spans="1:9" x14ac:dyDescent="0.35">
      <c r="A59" t="s">
        <v>9</v>
      </c>
      <c r="B59" t="s">
        <v>10</v>
      </c>
      <c r="C59" t="s">
        <v>68</v>
      </c>
      <c r="D59" t="str">
        <f>"020902"</f>
        <v>020902</v>
      </c>
      <c r="E59">
        <v>7139</v>
      </c>
      <c r="F59">
        <v>3819</v>
      </c>
      <c r="G59" s="1">
        <v>0.53490000000000004</v>
      </c>
      <c r="H59">
        <v>9</v>
      </c>
      <c r="I59">
        <v>7129</v>
      </c>
    </row>
    <row r="60" spans="1:9" x14ac:dyDescent="0.35">
      <c r="A60" t="s">
        <v>9</v>
      </c>
      <c r="B60" t="s">
        <v>10</v>
      </c>
      <c r="C60" t="s">
        <v>69</v>
      </c>
      <c r="D60" t="str">
        <f>"020903"</f>
        <v>020903</v>
      </c>
      <c r="E60">
        <v>2494</v>
      </c>
      <c r="F60">
        <v>1514</v>
      </c>
      <c r="G60" s="1">
        <v>0.60709999999999997</v>
      </c>
      <c r="H60">
        <v>5</v>
      </c>
      <c r="I60">
        <v>2482</v>
      </c>
    </row>
    <row r="61" spans="1:9" x14ac:dyDescent="0.35">
      <c r="A61" t="s">
        <v>9</v>
      </c>
      <c r="B61" t="s">
        <v>10</v>
      </c>
      <c r="C61" t="s">
        <v>70</v>
      </c>
      <c r="D61" t="str">
        <f>"020904"</f>
        <v>020904</v>
      </c>
      <c r="E61">
        <v>5604</v>
      </c>
      <c r="F61">
        <v>3326</v>
      </c>
      <c r="G61" s="1">
        <v>0.59350000000000003</v>
      </c>
      <c r="H61">
        <v>10</v>
      </c>
      <c r="I61">
        <v>5575</v>
      </c>
    </row>
    <row r="62" spans="1:9" x14ac:dyDescent="0.35">
      <c r="A62" t="s">
        <v>9</v>
      </c>
      <c r="B62" t="s">
        <v>10</v>
      </c>
      <c r="C62" t="s">
        <v>71</v>
      </c>
      <c r="D62" t="str">
        <f>"020905"</f>
        <v>020905</v>
      </c>
      <c r="E62">
        <v>3743</v>
      </c>
      <c r="F62">
        <v>2224</v>
      </c>
      <c r="G62" s="1">
        <v>0.59419999999999995</v>
      </c>
      <c r="H62">
        <v>8</v>
      </c>
      <c r="I62">
        <v>3739</v>
      </c>
    </row>
    <row r="63" spans="1:9" x14ac:dyDescent="0.35">
      <c r="A63" t="s">
        <v>9</v>
      </c>
      <c r="B63" t="s">
        <v>10</v>
      </c>
      <c r="C63" t="s">
        <v>72</v>
      </c>
      <c r="D63" t="str">
        <f>"020906"</f>
        <v>020906</v>
      </c>
      <c r="E63">
        <v>5276</v>
      </c>
      <c r="F63">
        <v>3069</v>
      </c>
      <c r="G63" s="1">
        <v>0.58169999999999999</v>
      </c>
      <c r="H63">
        <v>8</v>
      </c>
      <c r="I63">
        <v>5260</v>
      </c>
    </row>
    <row r="64" spans="1:9" x14ac:dyDescent="0.35">
      <c r="A64" t="s">
        <v>9</v>
      </c>
      <c r="B64" t="s">
        <v>10</v>
      </c>
      <c r="C64" t="s">
        <v>73</v>
      </c>
      <c r="D64" t="str">
        <f>"020907"</f>
        <v>020907</v>
      </c>
      <c r="E64">
        <v>5605</v>
      </c>
      <c r="F64">
        <v>2968</v>
      </c>
      <c r="G64" s="1">
        <v>0.52949999999999997</v>
      </c>
      <c r="H64">
        <v>9</v>
      </c>
      <c r="I64">
        <v>5545</v>
      </c>
    </row>
    <row r="65" spans="1:9" x14ac:dyDescent="0.35">
      <c r="A65" t="s">
        <v>9</v>
      </c>
      <c r="B65" t="s">
        <v>10</v>
      </c>
      <c r="C65" t="s">
        <v>74</v>
      </c>
      <c r="D65" t="str">
        <f>"020908"</f>
        <v>020908</v>
      </c>
      <c r="E65">
        <v>1869</v>
      </c>
      <c r="F65">
        <v>947</v>
      </c>
      <c r="G65" s="1">
        <v>0.50670000000000004</v>
      </c>
      <c r="H65">
        <v>2</v>
      </c>
      <c r="I65">
        <v>1859</v>
      </c>
    </row>
    <row r="66" spans="1:9" x14ac:dyDescent="0.35">
      <c r="A66" t="s">
        <v>9</v>
      </c>
      <c r="B66" t="s">
        <v>10</v>
      </c>
      <c r="C66" t="s">
        <v>75</v>
      </c>
      <c r="D66" t="str">
        <f>"021001"</f>
        <v>021001</v>
      </c>
      <c r="E66">
        <v>15088</v>
      </c>
      <c r="F66">
        <v>8278</v>
      </c>
      <c r="G66" s="1">
        <v>0.54859999999999998</v>
      </c>
      <c r="H66">
        <v>9</v>
      </c>
      <c r="I66">
        <v>14950</v>
      </c>
    </row>
    <row r="67" spans="1:9" x14ac:dyDescent="0.35">
      <c r="A67" t="s">
        <v>9</v>
      </c>
      <c r="B67" t="s">
        <v>10</v>
      </c>
      <c r="C67" t="s">
        <v>76</v>
      </c>
      <c r="D67" t="str">
        <f>"021002"</f>
        <v>021002</v>
      </c>
      <c r="E67">
        <v>3413</v>
      </c>
      <c r="F67">
        <v>2103</v>
      </c>
      <c r="G67" s="1">
        <v>0.61619999999999997</v>
      </c>
      <c r="H67">
        <v>4</v>
      </c>
      <c r="I67">
        <v>3166</v>
      </c>
    </row>
    <row r="68" spans="1:9" x14ac:dyDescent="0.35">
      <c r="A68" t="s">
        <v>9</v>
      </c>
      <c r="B68" t="s">
        <v>10</v>
      </c>
      <c r="C68" t="s">
        <v>77</v>
      </c>
      <c r="D68" t="str">
        <f>"021003"</f>
        <v>021003</v>
      </c>
      <c r="E68">
        <v>7262</v>
      </c>
      <c r="F68">
        <v>3984</v>
      </c>
      <c r="G68" s="1">
        <v>0.54859999999999998</v>
      </c>
      <c r="H68">
        <v>10</v>
      </c>
      <c r="I68">
        <v>7208</v>
      </c>
    </row>
    <row r="69" spans="1:9" x14ac:dyDescent="0.35">
      <c r="A69" t="s">
        <v>9</v>
      </c>
      <c r="B69" t="s">
        <v>10</v>
      </c>
      <c r="C69" t="s">
        <v>78</v>
      </c>
      <c r="D69" t="str">
        <f>"021004"</f>
        <v>021004</v>
      </c>
      <c r="E69">
        <v>4944</v>
      </c>
      <c r="F69">
        <v>2719</v>
      </c>
      <c r="G69" s="1">
        <v>0.55000000000000004</v>
      </c>
      <c r="H69">
        <v>8</v>
      </c>
      <c r="I69">
        <v>4917</v>
      </c>
    </row>
    <row r="70" spans="1:9" x14ac:dyDescent="0.35">
      <c r="A70" t="s">
        <v>9</v>
      </c>
      <c r="B70" t="s">
        <v>10</v>
      </c>
      <c r="C70" t="s">
        <v>79</v>
      </c>
      <c r="D70" t="str">
        <f>"021005"</f>
        <v>021005</v>
      </c>
      <c r="E70">
        <v>4832</v>
      </c>
      <c r="F70">
        <v>2565</v>
      </c>
      <c r="G70" s="1">
        <v>0.53080000000000005</v>
      </c>
      <c r="H70">
        <v>5</v>
      </c>
      <c r="I70">
        <v>4806</v>
      </c>
    </row>
    <row r="71" spans="1:9" x14ac:dyDescent="0.35">
      <c r="A71" t="s">
        <v>9</v>
      </c>
      <c r="B71" t="s">
        <v>10</v>
      </c>
      <c r="C71" t="s">
        <v>80</v>
      </c>
      <c r="D71" t="str">
        <f>"021006"</f>
        <v>021006</v>
      </c>
      <c r="E71">
        <v>1219</v>
      </c>
      <c r="F71">
        <v>706</v>
      </c>
      <c r="G71" s="1">
        <v>0.57920000000000005</v>
      </c>
      <c r="H71">
        <v>2</v>
      </c>
      <c r="I71">
        <v>1211</v>
      </c>
    </row>
    <row r="72" spans="1:9" x14ac:dyDescent="0.35">
      <c r="A72" t="s">
        <v>9</v>
      </c>
      <c r="B72" t="s">
        <v>10</v>
      </c>
      <c r="C72" t="s">
        <v>81</v>
      </c>
      <c r="D72" t="str">
        <f>"021007"</f>
        <v>021007</v>
      </c>
      <c r="E72">
        <v>3386</v>
      </c>
      <c r="F72">
        <v>1835</v>
      </c>
      <c r="G72" s="1">
        <v>0.54190000000000005</v>
      </c>
      <c r="H72">
        <v>3</v>
      </c>
      <c r="I72">
        <v>3380</v>
      </c>
    </row>
    <row r="73" spans="1:9" x14ac:dyDescent="0.35">
      <c r="A73" t="s">
        <v>9</v>
      </c>
      <c r="B73" t="s">
        <v>10</v>
      </c>
      <c r="C73" t="s">
        <v>82</v>
      </c>
      <c r="D73" t="str">
        <f>"021101"</f>
        <v>021101</v>
      </c>
      <c r="E73">
        <v>51176</v>
      </c>
      <c r="F73">
        <v>30314</v>
      </c>
      <c r="G73" s="1">
        <v>0.59230000000000005</v>
      </c>
      <c r="H73">
        <v>47</v>
      </c>
      <c r="I73">
        <v>50741</v>
      </c>
    </row>
    <row r="74" spans="1:9" x14ac:dyDescent="0.35">
      <c r="A74" t="s">
        <v>9</v>
      </c>
      <c r="B74" t="s">
        <v>10</v>
      </c>
      <c r="C74" t="s">
        <v>83</v>
      </c>
      <c r="D74" t="str">
        <f>"021102"</f>
        <v>021102</v>
      </c>
      <c r="E74">
        <v>13105</v>
      </c>
      <c r="F74">
        <v>8153</v>
      </c>
      <c r="G74" s="1">
        <v>0.62209999999999999</v>
      </c>
      <c r="H74">
        <v>16</v>
      </c>
      <c r="I74">
        <v>12978</v>
      </c>
    </row>
    <row r="75" spans="1:9" x14ac:dyDescent="0.35">
      <c r="A75" t="s">
        <v>9</v>
      </c>
      <c r="B75" t="s">
        <v>10</v>
      </c>
      <c r="C75" t="s">
        <v>84</v>
      </c>
      <c r="D75" t="str">
        <f>"021103"</f>
        <v>021103</v>
      </c>
      <c r="E75">
        <v>5874</v>
      </c>
      <c r="F75">
        <v>3468</v>
      </c>
      <c r="G75" s="1">
        <v>0.59040000000000004</v>
      </c>
      <c r="H75">
        <v>13</v>
      </c>
      <c r="I75">
        <v>5849</v>
      </c>
    </row>
    <row r="76" spans="1:9" x14ac:dyDescent="0.35">
      <c r="A76" t="s">
        <v>9</v>
      </c>
      <c r="B76" t="s">
        <v>10</v>
      </c>
      <c r="C76" t="s">
        <v>85</v>
      </c>
      <c r="D76" t="str">
        <f>"021104"</f>
        <v>021104</v>
      </c>
      <c r="E76">
        <v>7275</v>
      </c>
      <c r="F76">
        <v>4005</v>
      </c>
      <c r="G76" s="1">
        <v>0.55049999999999999</v>
      </c>
      <c r="H76">
        <v>11</v>
      </c>
      <c r="I76">
        <v>7198</v>
      </c>
    </row>
    <row r="77" spans="1:9" x14ac:dyDescent="0.35">
      <c r="A77" t="s">
        <v>9</v>
      </c>
      <c r="B77" t="s">
        <v>10</v>
      </c>
      <c r="C77" t="s">
        <v>86</v>
      </c>
      <c r="D77" t="str">
        <f>"021201"</f>
        <v>021201</v>
      </c>
      <c r="E77">
        <v>6998</v>
      </c>
      <c r="F77">
        <v>3923</v>
      </c>
      <c r="G77" s="1">
        <v>0.56059999999999999</v>
      </c>
      <c r="H77">
        <v>10</v>
      </c>
      <c r="I77">
        <v>6959</v>
      </c>
    </row>
    <row r="78" spans="1:9" x14ac:dyDescent="0.35">
      <c r="A78" t="s">
        <v>9</v>
      </c>
      <c r="B78" t="s">
        <v>10</v>
      </c>
      <c r="C78" t="s">
        <v>87</v>
      </c>
      <c r="D78" t="str">
        <f>"021202"</f>
        <v>021202</v>
      </c>
      <c r="E78">
        <v>4314</v>
      </c>
      <c r="F78">
        <v>2240</v>
      </c>
      <c r="G78" s="1">
        <v>0.51919999999999999</v>
      </c>
      <c r="H78">
        <v>7</v>
      </c>
      <c r="I78">
        <v>4273</v>
      </c>
    </row>
    <row r="79" spans="1:9" x14ac:dyDescent="0.35">
      <c r="A79" t="s">
        <v>9</v>
      </c>
      <c r="B79" t="s">
        <v>10</v>
      </c>
      <c r="C79" t="s">
        <v>88</v>
      </c>
      <c r="D79" t="str">
        <f>"021203"</f>
        <v>021203</v>
      </c>
      <c r="E79">
        <v>12606</v>
      </c>
      <c r="F79">
        <v>6966</v>
      </c>
      <c r="G79" s="1">
        <v>0.55259999999999998</v>
      </c>
      <c r="H79">
        <v>16</v>
      </c>
      <c r="I79">
        <v>12527</v>
      </c>
    </row>
    <row r="80" spans="1:9" x14ac:dyDescent="0.35">
      <c r="A80" t="s">
        <v>9</v>
      </c>
      <c r="B80" t="s">
        <v>10</v>
      </c>
      <c r="C80" t="s">
        <v>89</v>
      </c>
      <c r="D80" t="str">
        <f>"021204"</f>
        <v>021204</v>
      </c>
      <c r="E80">
        <v>6353</v>
      </c>
      <c r="F80">
        <v>3160</v>
      </c>
      <c r="G80" s="1">
        <v>0.49740000000000001</v>
      </c>
      <c r="H80">
        <v>5</v>
      </c>
      <c r="I80">
        <v>6282</v>
      </c>
    </row>
    <row r="81" spans="1:9" x14ac:dyDescent="0.35">
      <c r="A81" t="s">
        <v>9</v>
      </c>
      <c r="B81" t="s">
        <v>10</v>
      </c>
      <c r="C81" t="s">
        <v>90</v>
      </c>
      <c r="D81" t="str">
        <f>"021205"</f>
        <v>021205</v>
      </c>
      <c r="E81">
        <v>3112</v>
      </c>
      <c r="F81">
        <v>1695</v>
      </c>
      <c r="G81" s="1">
        <v>0.54469999999999996</v>
      </c>
      <c r="H81">
        <v>6</v>
      </c>
      <c r="I81">
        <v>3104</v>
      </c>
    </row>
    <row r="82" spans="1:9" x14ac:dyDescent="0.35">
      <c r="A82" t="s">
        <v>9</v>
      </c>
      <c r="B82" t="s">
        <v>10</v>
      </c>
      <c r="C82" t="s">
        <v>91</v>
      </c>
      <c r="D82" t="str">
        <f>"021301"</f>
        <v>021301</v>
      </c>
      <c r="E82">
        <v>3558</v>
      </c>
      <c r="F82">
        <v>2092</v>
      </c>
      <c r="G82" s="1">
        <v>0.58799999999999997</v>
      </c>
      <c r="H82">
        <v>3</v>
      </c>
      <c r="I82">
        <v>3552</v>
      </c>
    </row>
    <row r="83" spans="1:9" x14ac:dyDescent="0.35">
      <c r="A83" t="s">
        <v>9</v>
      </c>
      <c r="B83" t="s">
        <v>10</v>
      </c>
      <c r="C83" t="s">
        <v>92</v>
      </c>
      <c r="D83" t="str">
        <f>"021302"</f>
        <v>021302</v>
      </c>
      <c r="E83">
        <v>6003</v>
      </c>
      <c r="F83">
        <v>3165</v>
      </c>
      <c r="G83" s="1">
        <v>0.5272</v>
      </c>
      <c r="H83">
        <v>4</v>
      </c>
      <c r="I83">
        <v>5963</v>
      </c>
    </row>
    <row r="84" spans="1:9" x14ac:dyDescent="0.35">
      <c r="A84" t="s">
        <v>9</v>
      </c>
      <c r="B84" t="s">
        <v>10</v>
      </c>
      <c r="C84" t="s">
        <v>93</v>
      </c>
      <c r="D84" t="str">
        <f>"021303"</f>
        <v>021303</v>
      </c>
      <c r="E84">
        <v>18020</v>
      </c>
      <c r="F84">
        <v>9300</v>
      </c>
      <c r="G84" s="1">
        <v>0.5161</v>
      </c>
      <c r="H84">
        <v>27</v>
      </c>
      <c r="I84">
        <v>17888</v>
      </c>
    </row>
    <row r="85" spans="1:9" x14ac:dyDescent="0.35">
      <c r="A85" t="s">
        <v>9</v>
      </c>
      <c r="B85" t="s">
        <v>10</v>
      </c>
      <c r="C85" t="s">
        <v>94</v>
      </c>
      <c r="D85" t="str">
        <f>"021401"</f>
        <v>021401</v>
      </c>
      <c r="E85">
        <v>26888</v>
      </c>
      <c r="F85">
        <v>15124</v>
      </c>
      <c r="G85" s="1">
        <v>0.5625</v>
      </c>
      <c r="H85">
        <v>21</v>
      </c>
      <c r="I85">
        <v>26726</v>
      </c>
    </row>
    <row r="86" spans="1:9" x14ac:dyDescent="0.35">
      <c r="A86" t="s">
        <v>9</v>
      </c>
      <c r="B86" t="s">
        <v>10</v>
      </c>
      <c r="C86" t="s">
        <v>95</v>
      </c>
      <c r="D86" t="str">
        <f>"021402"</f>
        <v>021402</v>
      </c>
      <c r="E86">
        <v>7263</v>
      </c>
      <c r="F86">
        <v>3738</v>
      </c>
      <c r="G86" s="1">
        <v>0.51470000000000005</v>
      </c>
      <c r="H86">
        <v>14</v>
      </c>
      <c r="I86">
        <v>7212</v>
      </c>
    </row>
    <row r="87" spans="1:9" x14ac:dyDescent="0.35">
      <c r="A87" t="s">
        <v>9</v>
      </c>
      <c r="B87" t="s">
        <v>10</v>
      </c>
      <c r="C87" t="s">
        <v>96</v>
      </c>
      <c r="D87" t="str">
        <f>"021403"</f>
        <v>021403</v>
      </c>
      <c r="E87">
        <v>5451</v>
      </c>
      <c r="F87">
        <v>3019</v>
      </c>
      <c r="G87" s="1">
        <v>0.55379999999999996</v>
      </c>
      <c r="H87">
        <v>3</v>
      </c>
      <c r="I87">
        <v>5339</v>
      </c>
    </row>
    <row r="88" spans="1:9" x14ac:dyDescent="0.35">
      <c r="A88" t="s">
        <v>9</v>
      </c>
      <c r="B88" t="s">
        <v>10</v>
      </c>
      <c r="C88" t="s">
        <v>97</v>
      </c>
      <c r="D88" t="str">
        <f>"021404"</f>
        <v>021404</v>
      </c>
      <c r="E88">
        <v>3418</v>
      </c>
      <c r="F88">
        <v>1762</v>
      </c>
      <c r="G88" s="1">
        <v>0.51549999999999996</v>
      </c>
      <c r="H88">
        <v>3</v>
      </c>
      <c r="I88">
        <v>3414</v>
      </c>
    </row>
    <row r="89" spans="1:9" x14ac:dyDescent="0.35">
      <c r="A89" t="s">
        <v>9</v>
      </c>
      <c r="B89" t="s">
        <v>10</v>
      </c>
      <c r="C89" t="s">
        <v>98</v>
      </c>
      <c r="D89" t="str">
        <f>"021405"</f>
        <v>021405</v>
      </c>
      <c r="E89">
        <v>3833</v>
      </c>
      <c r="F89">
        <v>2064</v>
      </c>
      <c r="G89" s="1">
        <v>0.53849999999999998</v>
      </c>
      <c r="H89">
        <v>6</v>
      </c>
      <c r="I89">
        <v>3796</v>
      </c>
    </row>
    <row r="90" spans="1:9" x14ac:dyDescent="0.35">
      <c r="A90" t="s">
        <v>9</v>
      </c>
      <c r="B90" t="s">
        <v>10</v>
      </c>
      <c r="C90" t="s">
        <v>99</v>
      </c>
      <c r="D90" t="str">
        <f>"021406"</f>
        <v>021406</v>
      </c>
      <c r="E90">
        <v>11033</v>
      </c>
      <c r="F90">
        <v>6249</v>
      </c>
      <c r="G90" s="1">
        <v>0.56640000000000001</v>
      </c>
      <c r="H90">
        <v>9</v>
      </c>
      <c r="I90">
        <v>10953</v>
      </c>
    </row>
    <row r="91" spans="1:9" x14ac:dyDescent="0.35">
      <c r="A91" t="s">
        <v>9</v>
      </c>
      <c r="B91" t="s">
        <v>10</v>
      </c>
      <c r="C91" t="s">
        <v>100</v>
      </c>
      <c r="D91" t="str">
        <f>"021407"</f>
        <v>021407</v>
      </c>
      <c r="E91">
        <v>12640</v>
      </c>
      <c r="F91">
        <v>6966</v>
      </c>
      <c r="G91" s="1">
        <v>0.55110000000000003</v>
      </c>
      <c r="H91">
        <v>13</v>
      </c>
      <c r="I91">
        <v>12603</v>
      </c>
    </row>
    <row r="92" spans="1:9" x14ac:dyDescent="0.35">
      <c r="A92" t="s">
        <v>9</v>
      </c>
      <c r="B92" t="s">
        <v>10</v>
      </c>
      <c r="C92" t="s">
        <v>101</v>
      </c>
      <c r="D92" t="str">
        <f>"021408"</f>
        <v>021408</v>
      </c>
      <c r="E92">
        <v>9789</v>
      </c>
      <c r="F92">
        <v>4749</v>
      </c>
      <c r="G92" s="1">
        <v>0.48509999999999998</v>
      </c>
      <c r="H92">
        <v>6</v>
      </c>
      <c r="I92">
        <v>9720</v>
      </c>
    </row>
    <row r="93" spans="1:9" x14ac:dyDescent="0.35">
      <c r="A93" t="s">
        <v>9</v>
      </c>
      <c r="B93" t="s">
        <v>10</v>
      </c>
      <c r="C93" t="s">
        <v>102</v>
      </c>
      <c r="D93" t="str">
        <f>"021501"</f>
        <v>021501</v>
      </c>
      <c r="E93">
        <v>24294</v>
      </c>
      <c r="F93">
        <v>14191</v>
      </c>
      <c r="G93" s="1">
        <v>0.58409999999999995</v>
      </c>
      <c r="H93">
        <v>17</v>
      </c>
      <c r="I93">
        <v>24059</v>
      </c>
    </row>
    <row r="94" spans="1:9" x14ac:dyDescent="0.35">
      <c r="A94" t="s">
        <v>9</v>
      </c>
      <c r="B94" t="s">
        <v>10</v>
      </c>
      <c r="C94" t="s">
        <v>103</v>
      </c>
      <c r="D94" t="str">
        <f>"021502"</f>
        <v>021502</v>
      </c>
      <c r="E94">
        <v>3947</v>
      </c>
      <c r="F94">
        <v>2275</v>
      </c>
      <c r="G94" s="1">
        <v>0.57640000000000002</v>
      </c>
      <c r="H94">
        <v>11</v>
      </c>
      <c r="I94">
        <v>3928</v>
      </c>
    </row>
    <row r="95" spans="1:9" x14ac:dyDescent="0.35">
      <c r="A95" t="s">
        <v>9</v>
      </c>
      <c r="B95" t="s">
        <v>10</v>
      </c>
      <c r="C95" t="s">
        <v>104</v>
      </c>
      <c r="D95" t="str">
        <f>"021503"</f>
        <v>021503</v>
      </c>
      <c r="E95">
        <v>17450</v>
      </c>
      <c r="F95">
        <v>9556</v>
      </c>
      <c r="G95" s="1">
        <v>0.54759999999999998</v>
      </c>
      <c r="H95">
        <v>13</v>
      </c>
      <c r="I95">
        <v>17390</v>
      </c>
    </row>
    <row r="96" spans="1:9" x14ac:dyDescent="0.35">
      <c r="A96" t="s">
        <v>9</v>
      </c>
      <c r="B96" t="s">
        <v>10</v>
      </c>
      <c r="C96" t="s">
        <v>105</v>
      </c>
      <c r="D96" t="str">
        <f>"021504"</f>
        <v>021504</v>
      </c>
      <c r="E96">
        <v>11688</v>
      </c>
      <c r="F96">
        <v>6712</v>
      </c>
      <c r="G96" s="1">
        <v>0.57430000000000003</v>
      </c>
      <c r="H96">
        <v>13</v>
      </c>
      <c r="I96">
        <v>11649</v>
      </c>
    </row>
    <row r="97" spans="1:9" x14ac:dyDescent="0.35">
      <c r="A97" t="s">
        <v>9</v>
      </c>
      <c r="B97" t="s">
        <v>10</v>
      </c>
      <c r="C97" t="s">
        <v>106</v>
      </c>
      <c r="D97" t="str">
        <f>"021601"</f>
        <v>021601</v>
      </c>
      <c r="E97">
        <v>9388</v>
      </c>
      <c r="F97">
        <v>5067</v>
      </c>
      <c r="G97" s="1">
        <v>0.53969999999999996</v>
      </c>
      <c r="H97">
        <v>11</v>
      </c>
      <c r="I97">
        <v>9332</v>
      </c>
    </row>
    <row r="98" spans="1:9" x14ac:dyDescent="0.35">
      <c r="A98" t="s">
        <v>9</v>
      </c>
      <c r="B98" t="s">
        <v>10</v>
      </c>
      <c r="C98" t="s">
        <v>107</v>
      </c>
      <c r="D98" t="str">
        <f>"021602"</f>
        <v>021602</v>
      </c>
      <c r="E98">
        <v>2857</v>
      </c>
      <c r="F98">
        <v>1599</v>
      </c>
      <c r="G98" s="1">
        <v>0.55969999999999998</v>
      </c>
      <c r="H98">
        <v>5</v>
      </c>
      <c r="I98">
        <v>2849</v>
      </c>
    </row>
    <row r="99" spans="1:9" x14ac:dyDescent="0.35">
      <c r="A99" t="s">
        <v>9</v>
      </c>
      <c r="B99" t="s">
        <v>10</v>
      </c>
      <c r="C99" t="s">
        <v>108</v>
      </c>
      <c r="D99" t="str">
        <f>"021603"</f>
        <v>021603</v>
      </c>
      <c r="E99">
        <v>4120</v>
      </c>
      <c r="F99">
        <v>2248</v>
      </c>
      <c r="G99" s="1">
        <v>0.54559999999999997</v>
      </c>
      <c r="H99">
        <v>6</v>
      </c>
      <c r="I99">
        <v>4112</v>
      </c>
    </row>
    <row r="100" spans="1:9" x14ac:dyDescent="0.35">
      <c r="A100" t="s">
        <v>9</v>
      </c>
      <c r="B100" t="s">
        <v>10</v>
      </c>
      <c r="C100" t="s">
        <v>109</v>
      </c>
      <c r="D100" t="str">
        <f>"021604"</f>
        <v>021604</v>
      </c>
      <c r="E100">
        <v>19504</v>
      </c>
      <c r="F100">
        <v>10336</v>
      </c>
      <c r="G100" s="1">
        <v>0.52990000000000004</v>
      </c>
      <c r="H100">
        <v>16</v>
      </c>
      <c r="I100">
        <v>19234</v>
      </c>
    </row>
    <row r="101" spans="1:9" x14ac:dyDescent="0.35">
      <c r="A101" t="s">
        <v>9</v>
      </c>
      <c r="B101" t="s">
        <v>10</v>
      </c>
      <c r="C101" t="s">
        <v>110</v>
      </c>
      <c r="D101" t="str">
        <f>"021605"</f>
        <v>021605</v>
      </c>
      <c r="E101">
        <v>6014</v>
      </c>
      <c r="F101">
        <v>3057</v>
      </c>
      <c r="G101" s="1">
        <v>0.50829999999999997</v>
      </c>
      <c r="H101">
        <v>9</v>
      </c>
      <c r="I101">
        <v>5998</v>
      </c>
    </row>
    <row r="102" spans="1:9" x14ac:dyDescent="0.35">
      <c r="A102" t="s">
        <v>9</v>
      </c>
      <c r="B102" t="s">
        <v>10</v>
      </c>
      <c r="C102" t="s">
        <v>111</v>
      </c>
      <c r="D102" t="str">
        <f>"021606"</f>
        <v>021606</v>
      </c>
      <c r="E102">
        <v>3767</v>
      </c>
      <c r="F102">
        <v>2162</v>
      </c>
      <c r="G102" s="1">
        <v>0.57389999999999997</v>
      </c>
      <c r="H102">
        <v>5</v>
      </c>
      <c r="I102">
        <v>3755</v>
      </c>
    </row>
    <row r="103" spans="1:9" x14ac:dyDescent="0.35">
      <c r="A103" t="s">
        <v>9</v>
      </c>
      <c r="B103" t="s">
        <v>10</v>
      </c>
      <c r="C103" t="s">
        <v>112</v>
      </c>
      <c r="D103" t="str">
        <f>"021701"</f>
        <v>021701</v>
      </c>
      <c r="E103">
        <v>4071</v>
      </c>
      <c r="F103">
        <v>2355</v>
      </c>
      <c r="G103" s="1">
        <v>0.57850000000000001</v>
      </c>
      <c r="H103">
        <v>4</v>
      </c>
      <c r="I103">
        <v>4062</v>
      </c>
    </row>
    <row r="104" spans="1:9" x14ac:dyDescent="0.35">
      <c r="A104" t="s">
        <v>9</v>
      </c>
      <c r="B104" t="s">
        <v>10</v>
      </c>
      <c r="C104" t="s">
        <v>113</v>
      </c>
      <c r="D104" t="str">
        <f>"021702"</f>
        <v>021702</v>
      </c>
      <c r="E104">
        <v>3260</v>
      </c>
      <c r="F104">
        <v>1725</v>
      </c>
      <c r="G104" s="1">
        <v>0.52910000000000001</v>
      </c>
      <c r="H104">
        <v>7</v>
      </c>
      <c r="I104">
        <v>3248</v>
      </c>
    </row>
    <row r="105" spans="1:9" x14ac:dyDescent="0.35">
      <c r="A105" t="s">
        <v>9</v>
      </c>
      <c r="B105" t="s">
        <v>10</v>
      </c>
      <c r="C105" t="s">
        <v>114</v>
      </c>
      <c r="D105" t="str">
        <f>"021703"</f>
        <v>021703</v>
      </c>
      <c r="E105">
        <v>3646</v>
      </c>
      <c r="F105">
        <v>1944</v>
      </c>
      <c r="G105" s="1">
        <v>0.53320000000000001</v>
      </c>
      <c r="H105">
        <v>9</v>
      </c>
      <c r="I105">
        <v>3636</v>
      </c>
    </row>
    <row r="106" spans="1:9" x14ac:dyDescent="0.35">
      <c r="A106" t="s">
        <v>9</v>
      </c>
      <c r="B106" t="s">
        <v>10</v>
      </c>
      <c r="C106" t="s">
        <v>115</v>
      </c>
      <c r="D106" t="str">
        <f>"021704"</f>
        <v>021704</v>
      </c>
      <c r="E106">
        <v>16471</v>
      </c>
      <c r="F106">
        <v>9533</v>
      </c>
      <c r="G106" s="1">
        <v>0.57879999999999998</v>
      </c>
      <c r="H106">
        <v>20</v>
      </c>
      <c r="I106">
        <v>16362</v>
      </c>
    </row>
    <row r="107" spans="1:9" x14ac:dyDescent="0.35">
      <c r="A107" t="s">
        <v>9</v>
      </c>
      <c r="B107" t="s">
        <v>10</v>
      </c>
      <c r="C107" t="s">
        <v>116</v>
      </c>
      <c r="D107" t="str">
        <f>"021705"</f>
        <v>021705</v>
      </c>
      <c r="E107">
        <v>5408</v>
      </c>
      <c r="F107">
        <v>2869</v>
      </c>
      <c r="G107" s="1">
        <v>0.53049999999999997</v>
      </c>
      <c r="H107">
        <v>8</v>
      </c>
      <c r="I107">
        <v>5385</v>
      </c>
    </row>
    <row r="108" spans="1:9" x14ac:dyDescent="0.35">
      <c r="A108" t="s">
        <v>9</v>
      </c>
      <c r="B108" t="s">
        <v>10</v>
      </c>
      <c r="C108" t="s">
        <v>117</v>
      </c>
      <c r="D108" t="str">
        <f>"021801"</f>
        <v>021801</v>
      </c>
      <c r="E108">
        <v>5434</v>
      </c>
      <c r="F108">
        <v>2705</v>
      </c>
      <c r="G108" s="1">
        <v>0.49780000000000002</v>
      </c>
      <c r="H108">
        <v>6</v>
      </c>
      <c r="I108">
        <v>5420</v>
      </c>
    </row>
    <row r="109" spans="1:9" x14ac:dyDescent="0.35">
      <c r="A109" t="s">
        <v>9</v>
      </c>
      <c r="B109" t="s">
        <v>10</v>
      </c>
      <c r="C109" t="s">
        <v>118</v>
      </c>
      <c r="D109" t="str">
        <f>"021802"</f>
        <v>021802</v>
      </c>
      <c r="E109">
        <v>4397</v>
      </c>
      <c r="F109">
        <v>2483</v>
      </c>
      <c r="G109" s="1">
        <v>0.56469999999999998</v>
      </c>
      <c r="H109">
        <v>8</v>
      </c>
      <c r="I109">
        <v>4377</v>
      </c>
    </row>
    <row r="110" spans="1:9" x14ac:dyDescent="0.35">
      <c r="A110" t="s">
        <v>9</v>
      </c>
      <c r="B110" t="s">
        <v>10</v>
      </c>
      <c r="C110" t="s">
        <v>119</v>
      </c>
      <c r="D110" t="str">
        <f>"021803"</f>
        <v>021803</v>
      </c>
      <c r="E110">
        <v>14418</v>
      </c>
      <c r="F110">
        <v>9013</v>
      </c>
      <c r="G110" s="1">
        <v>0.62509999999999999</v>
      </c>
      <c r="H110">
        <v>12</v>
      </c>
      <c r="I110">
        <v>14249</v>
      </c>
    </row>
    <row r="111" spans="1:9" x14ac:dyDescent="0.35">
      <c r="A111" t="s">
        <v>9</v>
      </c>
      <c r="B111" t="s">
        <v>10</v>
      </c>
      <c r="C111" t="s">
        <v>120</v>
      </c>
      <c r="D111" t="str">
        <f>"021804"</f>
        <v>021804</v>
      </c>
      <c r="E111">
        <v>14955</v>
      </c>
      <c r="F111">
        <v>8260</v>
      </c>
      <c r="G111" s="1">
        <v>0.55230000000000001</v>
      </c>
      <c r="H111">
        <v>27</v>
      </c>
      <c r="I111">
        <v>14805</v>
      </c>
    </row>
    <row r="112" spans="1:9" x14ac:dyDescent="0.35">
      <c r="A112" t="s">
        <v>9</v>
      </c>
      <c r="B112" t="s">
        <v>10</v>
      </c>
      <c r="C112" t="s">
        <v>121</v>
      </c>
      <c r="D112" t="str">
        <f>"021805"</f>
        <v>021805</v>
      </c>
      <c r="E112">
        <v>3929</v>
      </c>
      <c r="F112">
        <v>2052</v>
      </c>
      <c r="G112" s="1">
        <v>0.52229999999999999</v>
      </c>
      <c r="H112">
        <v>4</v>
      </c>
      <c r="I112">
        <v>3909</v>
      </c>
    </row>
    <row r="113" spans="1:9" x14ac:dyDescent="0.35">
      <c r="A113" t="s">
        <v>9</v>
      </c>
      <c r="B113" t="s">
        <v>10</v>
      </c>
      <c r="C113" t="s">
        <v>122</v>
      </c>
      <c r="D113" t="str">
        <f>"021901"</f>
        <v>021901</v>
      </c>
      <c r="E113">
        <v>40607</v>
      </c>
      <c r="F113">
        <v>23542</v>
      </c>
      <c r="G113" s="1">
        <v>0.57979999999999998</v>
      </c>
      <c r="H113">
        <v>23</v>
      </c>
      <c r="I113">
        <v>40436</v>
      </c>
    </row>
    <row r="114" spans="1:9" x14ac:dyDescent="0.35">
      <c r="A114" t="s">
        <v>9</v>
      </c>
      <c r="B114" t="s">
        <v>10</v>
      </c>
      <c r="C114" t="s">
        <v>123</v>
      </c>
      <c r="D114" t="str">
        <f>"021902"</f>
        <v>021902</v>
      </c>
      <c r="E114">
        <v>16540</v>
      </c>
      <c r="F114">
        <v>9194</v>
      </c>
      <c r="G114" s="1">
        <v>0.55589999999999995</v>
      </c>
      <c r="H114">
        <v>15</v>
      </c>
      <c r="I114">
        <v>16502</v>
      </c>
    </row>
    <row r="115" spans="1:9" x14ac:dyDescent="0.35">
      <c r="A115" t="s">
        <v>9</v>
      </c>
      <c r="B115" t="s">
        <v>10</v>
      </c>
      <c r="C115" t="s">
        <v>124</v>
      </c>
      <c r="D115" t="str">
        <f>"021903"</f>
        <v>021903</v>
      </c>
      <c r="E115">
        <v>3885</v>
      </c>
      <c r="F115">
        <v>2074</v>
      </c>
      <c r="G115" s="1">
        <v>0.53380000000000005</v>
      </c>
      <c r="H115">
        <v>10</v>
      </c>
      <c r="I115">
        <v>3842</v>
      </c>
    </row>
    <row r="116" spans="1:9" x14ac:dyDescent="0.35">
      <c r="A116" t="s">
        <v>9</v>
      </c>
      <c r="B116" t="s">
        <v>10</v>
      </c>
      <c r="C116" t="s">
        <v>125</v>
      </c>
      <c r="D116" t="str">
        <f>"021904"</f>
        <v>021904</v>
      </c>
      <c r="E116">
        <v>7756</v>
      </c>
      <c r="F116">
        <v>4137</v>
      </c>
      <c r="G116" s="1">
        <v>0.53339999999999999</v>
      </c>
      <c r="H116">
        <v>11</v>
      </c>
      <c r="I116">
        <v>7709</v>
      </c>
    </row>
    <row r="117" spans="1:9" x14ac:dyDescent="0.35">
      <c r="A117" t="s">
        <v>9</v>
      </c>
      <c r="B117" t="s">
        <v>10</v>
      </c>
      <c r="C117" t="s">
        <v>126</v>
      </c>
      <c r="D117" t="str">
        <f>"021905"</f>
        <v>021905</v>
      </c>
      <c r="E117">
        <v>5118</v>
      </c>
      <c r="F117">
        <v>3033</v>
      </c>
      <c r="G117" s="1">
        <v>0.59260000000000002</v>
      </c>
      <c r="H117">
        <v>12</v>
      </c>
      <c r="I117">
        <v>5051</v>
      </c>
    </row>
    <row r="118" spans="1:9" x14ac:dyDescent="0.35">
      <c r="A118" t="s">
        <v>9</v>
      </c>
      <c r="B118" t="s">
        <v>10</v>
      </c>
      <c r="C118" t="s">
        <v>127</v>
      </c>
      <c r="D118" t="str">
        <f>"021906"</f>
        <v>021906</v>
      </c>
      <c r="E118">
        <v>18979</v>
      </c>
      <c r="F118">
        <v>10584</v>
      </c>
      <c r="G118" s="1">
        <v>0.55769999999999997</v>
      </c>
      <c r="H118">
        <v>29</v>
      </c>
      <c r="I118">
        <v>18902</v>
      </c>
    </row>
    <row r="119" spans="1:9" x14ac:dyDescent="0.35">
      <c r="A119" t="s">
        <v>9</v>
      </c>
      <c r="B119" t="s">
        <v>10</v>
      </c>
      <c r="C119" t="s">
        <v>128</v>
      </c>
      <c r="D119" t="str">
        <f>"021907"</f>
        <v>021907</v>
      </c>
      <c r="E119">
        <v>13328</v>
      </c>
      <c r="F119">
        <v>7677</v>
      </c>
      <c r="G119" s="1">
        <v>0.57599999999999996</v>
      </c>
      <c r="H119">
        <v>16</v>
      </c>
      <c r="I119">
        <v>13232</v>
      </c>
    </row>
    <row r="120" spans="1:9" x14ac:dyDescent="0.35">
      <c r="A120" t="s">
        <v>9</v>
      </c>
      <c r="B120" t="s">
        <v>10</v>
      </c>
      <c r="C120" t="s">
        <v>129</v>
      </c>
      <c r="D120" t="str">
        <f>"021908"</f>
        <v>021908</v>
      </c>
      <c r="E120">
        <v>9314</v>
      </c>
      <c r="F120">
        <v>5236</v>
      </c>
      <c r="G120" s="1">
        <v>0.56220000000000003</v>
      </c>
      <c r="H120">
        <v>14</v>
      </c>
      <c r="I120">
        <v>9275</v>
      </c>
    </row>
    <row r="121" spans="1:9" x14ac:dyDescent="0.35">
      <c r="A121" t="s">
        <v>9</v>
      </c>
      <c r="B121" t="s">
        <v>10</v>
      </c>
      <c r="C121" t="s">
        <v>130</v>
      </c>
      <c r="D121" t="str">
        <f>"022001"</f>
        <v>022001</v>
      </c>
      <c r="E121">
        <v>15924</v>
      </c>
      <c r="F121">
        <v>9499</v>
      </c>
      <c r="G121" s="1">
        <v>0.59650000000000003</v>
      </c>
      <c r="H121">
        <v>20</v>
      </c>
      <c r="I121">
        <v>15675</v>
      </c>
    </row>
    <row r="122" spans="1:9" x14ac:dyDescent="0.35">
      <c r="A122" t="s">
        <v>9</v>
      </c>
      <c r="B122" t="s">
        <v>10</v>
      </c>
      <c r="C122" t="s">
        <v>131</v>
      </c>
      <c r="D122" t="str">
        <f>"022002"</f>
        <v>022002</v>
      </c>
      <c r="E122">
        <v>7250</v>
      </c>
      <c r="F122">
        <v>4014</v>
      </c>
      <c r="G122" s="1">
        <v>0.55369999999999997</v>
      </c>
      <c r="H122">
        <v>13</v>
      </c>
      <c r="I122">
        <v>7174</v>
      </c>
    </row>
    <row r="123" spans="1:9" x14ac:dyDescent="0.35">
      <c r="A123" t="s">
        <v>9</v>
      </c>
      <c r="B123" t="s">
        <v>10</v>
      </c>
      <c r="C123" t="s">
        <v>132</v>
      </c>
      <c r="D123" t="str">
        <f>"022003"</f>
        <v>022003</v>
      </c>
      <c r="E123">
        <v>18606</v>
      </c>
      <c r="F123">
        <v>11085</v>
      </c>
      <c r="G123" s="1">
        <v>0.5958</v>
      </c>
      <c r="H123">
        <v>31</v>
      </c>
      <c r="I123">
        <v>18380</v>
      </c>
    </row>
    <row r="124" spans="1:9" x14ac:dyDescent="0.35">
      <c r="A124" t="s">
        <v>9</v>
      </c>
      <c r="B124" t="s">
        <v>10</v>
      </c>
      <c r="C124" t="s">
        <v>133</v>
      </c>
      <c r="D124" t="str">
        <f>"022004"</f>
        <v>022004</v>
      </c>
      <c r="E124">
        <v>8727</v>
      </c>
      <c r="F124">
        <v>5457</v>
      </c>
      <c r="G124" s="1">
        <v>0.62529999999999997</v>
      </c>
      <c r="H124">
        <v>13</v>
      </c>
      <c r="I124">
        <v>8607</v>
      </c>
    </row>
    <row r="125" spans="1:9" x14ac:dyDescent="0.35">
      <c r="A125" t="s">
        <v>9</v>
      </c>
      <c r="B125" t="s">
        <v>10</v>
      </c>
      <c r="C125" t="s">
        <v>134</v>
      </c>
      <c r="D125" t="str">
        <f>"022005"</f>
        <v>022005</v>
      </c>
      <c r="E125">
        <v>4675</v>
      </c>
      <c r="F125">
        <v>2494</v>
      </c>
      <c r="G125" s="1">
        <v>0.53349999999999997</v>
      </c>
      <c r="H125">
        <v>5</v>
      </c>
      <c r="I125">
        <v>4648</v>
      </c>
    </row>
    <row r="126" spans="1:9" x14ac:dyDescent="0.35">
      <c r="A126" t="s">
        <v>9</v>
      </c>
      <c r="B126" t="s">
        <v>10</v>
      </c>
      <c r="C126" t="s">
        <v>135</v>
      </c>
      <c r="D126" t="str">
        <f>"022006"</f>
        <v>022006</v>
      </c>
      <c r="E126">
        <v>11055</v>
      </c>
      <c r="F126">
        <v>5984</v>
      </c>
      <c r="G126" s="1">
        <v>0.5413</v>
      </c>
      <c r="H126">
        <v>18</v>
      </c>
      <c r="I126">
        <v>11005</v>
      </c>
    </row>
    <row r="127" spans="1:9" x14ac:dyDescent="0.35">
      <c r="A127" t="s">
        <v>9</v>
      </c>
      <c r="B127" t="s">
        <v>10</v>
      </c>
      <c r="C127" t="s">
        <v>136</v>
      </c>
      <c r="D127" t="str">
        <f>"022101"</f>
        <v>022101</v>
      </c>
      <c r="E127">
        <v>10806</v>
      </c>
      <c r="F127">
        <v>5515</v>
      </c>
      <c r="G127" s="1">
        <v>0.51039999999999996</v>
      </c>
      <c r="H127">
        <v>9</v>
      </c>
      <c r="I127">
        <v>10765</v>
      </c>
    </row>
    <row r="128" spans="1:9" x14ac:dyDescent="0.35">
      <c r="A128" t="s">
        <v>9</v>
      </c>
      <c r="B128" t="s">
        <v>10</v>
      </c>
      <c r="C128" t="s">
        <v>137</v>
      </c>
      <c r="D128" t="str">
        <f>"022102"</f>
        <v>022102</v>
      </c>
      <c r="E128">
        <v>3433</v>
      </c>
      <c r="F128">
        <v>1966</v>
      </c>
      <c r="G128" s="1">
        <v>0.57269999999999999</v>
      </c>
      <c r="H128">
        <v>5</v>
      </c>
      <c r="I128">
        <v>3409</v>
      </c>
    </row>
    <row r="129" spans="1:9" x14ac:dyDescent="0.35">
      <c r="A129" t="s">
        <v>9</v>
      </c>
      <c r="B129" t="s">
        <v>10</v>
      </c>
      <c r="C129" t="s">
        <v>138</v>
      </c>
      <c r="D129" t="str">
        <f>"022103"</f>
        <v>022103</v>
      </c>
      <c r="E129">
        <v>4569</v>
      </c>
      <c r="F129">
        <v>3069</v>
      </c>
      <c r="G129" s="1">
        <v>0.67169999999999996</v>
      </c>
      <c r="H129">
        <v>5</v>
      </c>
      <c r="I129">
        <v>4152</v>
      </c>
    </row>
    <row r="130" spans="1:9" x14ac:dyDescent="0.35">
      <c r="A130" t="s">
        <v>9</v>
      </c>
      <c r="B130" t="s">
        <v>10</v>
      </c>
      <c r="C130" t="s">
        <v>139</v>
      </c>
      <c r="D130" t="str">
        <f>"022104"</f>
        <v>022104</v>
      </c>
      <c r="E130">
        <v>3756</v>
      </c>
      <c r="F130">
        <v>2069</v>
      </c>
      <c r="G130" s="1">
        <v>0.55089999999999995</v>
      </c>
      <c r="H130">
        <v>6</v>
      </c>
      <c r="I130">
        <v>3752</v>
      </c>
    </row>
    <row r="131" spans="1:9" x14ac:dyDescent="0.35">
      <c r="A131" t="s">
        <v>9</v>
      </c>
      <c r="B131" t="s">
        <v>10</v>
      </c>
      <c r="C131" t="s">
        <v>140</v>
      </c>
      <c r="D131" t="str">
        <f>"022105"</f>
        <v>022105</v>
      </c>
      <c r="E131">
        <v>6407</v>
      </c>
      <c r="F131">
        <v>3165</v>
      </c>
      <c r="G131" s="1">
        <v>0.49399999999999999</v>
      </c>
      <c r="H131">
        <v>6</v>
      </c>
      <c r="I131">
        <v>6379</v>
      </c>
    </row>
    <row r="132" spans="1:9" x14ac:dyDescent="0.35">
      <c r="A132" t="s">
        <v>9</v>
      </c>
      <c r="B132" t="s">
        <v>10</v>
      </c>
      <c r="C132" t="s">
        <v>141</v>
      </c>
      <c r="D132" t="str">
        <f>"022106"</f>
        <v>022106</v>
      </c>
      <c r="E132">
        <v>4853</v>
      </c>
      <c r="F132">
        <v>2548</v>
      </c>
      <c r="G132" s="1">
        <v>0.52500000000000002</v>
      </c>
      <c r="H132">
        <v>8</v>
      </c>
      <c r="I132">
        <v>4778</v>
      </c>
    </row>
    <row r="133" spans="1:9" x14ac:dyDescent="0.35">
      <c r="A133" t="s">
        <v>9</v>
      </c>
      <c r="B133" t="s">
        <v>10</v>
      </c>
      <c r="C133" t="s">
        <v>142</v>
      </c>
      <c r="D133" t="str">
        <f>"022107"</f>
        <v>022107</v>
      </c>
      <c r="E133">
        <v>3296</v>
      </c>
      <c r="F133">
        <v>1893</v>
      </c>
      <c r="G133" s="1">
        <v>0.57430000000000003</v>
      </c>
      <c r="H133">
        <v>7</v>
      </c>
      <c r="I133">
        <v>3271</v>
      </c>
    </row>
    <row r="134" spans="1:9" x14ac:dyDescent="0.35">
      <c r="A134" t="s">
        <v>9</v>
      </c>
      <c r="B134" t="s">
        <v>10</v>
      </c>
      <c r="C134" t="s">
        <v>143</v>
      </c>
      <c r="D134" t="str">
        <f>"022108"</f>
        <v>022108</v>
      </c>
      <c r="E134">
        <v>4289</v>
      </c>
      <c r="F134">
        <v>2438</v>
      </c>
      <c r="G134" s="1">
        <v>0.56840000000000002</v>
      </c>
      <c r="H134">
        <v>5</v>
      </c>
      <c r="I134">
        <v>4229</v>
      </c>
    </row>
    <row r="135" spans="1:9" x14ac:dyDescent="0.35">
      <c r="A135" t="s">
        <v>9</v>
      </c>
      <c r="B135" t="s">
        <v>10</v>
      </c>
      <c r="C135" t="s">
        <v>144</v>
      </c>
      <c r="D135" t="str">
        <f>"022201"</f>
        <v>022201</v>
      </c>
      <c r="E135">
        <v>12221</v>
      </c>
      <c r="F135">
        <v>6797</v>
      </c>
      <c r="G135" s="1">
        <v>0.55620000000000003</v>
      </c>
      <c r="H135">
        <v>11</v>
      </c>
      <c r="I135">
        <v>12187</v>
      </c>
    </row>
    <row r="136" spans="1:9" x14ac:dyDescent="0.35">
      <c r="A136" t="s">
        <v>9</v>
      </c>
      <c r="B136" t="s">
        <v>10</v>
      </c>
      <c r="C136" t="s">
        <v>145</v>
      </c>
      <c r="D136" t="str">
        <f>"022202"</f>
        <v>022202</v>
      </c>
      <c r="E136">
        <v>6302</v>
      </c>
      <c r="F136">
        <v>3335</v>
      </c>
      <c r="G136" s="1">
        <v>0.5292</v>
      </c>
      <c r="H136">
        <v>8</v>
      </c>
      <c r="I136">
        <v>6287</v>
      </c>
    </row>
    <row r="137" spans="1:9" x14ac:dyDescent="0.35">
      <c r="A137" t="s">
        <v>9</v>
      </c>
      <c r="B137" t="s">
        <v>10</v>
      </c>
      <c r="C137" t="s">
        <v>146</v>
      </c>
      <c r="D137" t="str">
        <f>"022203"</f>
        <v>022203</v>
      </c>
      <c r="E137">
        <v>16567</v>
      </c>
      <c r="F137">
        <v>9197</v>
      </c>
      <c r="G137" s="1">
        <v>0.55510000000000004</v>
      </c>
      <c r="H137">
        <v>15</v>
      </c>
      <c r="I137">
        <v>16369</v>
      </c>
    </row>
    <row r="138" spans="1:9" x14ac:dyDescent="0.35">
      <c r="A138" t="s">
        <v>9</v>
      </c>
      <c r="B138" t="s">
        <v>10</v>
      </c>
      <c r="C138" t="s">
        <v>147</v>
      </c>
      <c r="D138" t="str">
        <f>"022301"</f>
        <v>022301</v>
      </c>
      <c r="E138">
        <v>15619</v>
      </c>
      <c r="F138">
        <v>9238</v>
      </c>
      <c r="G138" s="1">
        <v>0.59150000000000003</v>
      </c>
      <c r="H138">
        <v>8</v>
      </c>
      <c r="I138">
        <v>15334</v>
      </c>
    </row>
    <row r="139" spans="1:9" x14ac:dyDescent="0.35">
      <c r="A139" t="s">
        <v>9</v>
      </c>
      <c r="B139" t="s">
        <v>10</v>
      </c>
      <c r="C139" t="s">
        <v>148</v>
      </c>
      <c r="D139" t="str">
        <f>"022302"</f>
        <v>022302</v>
      </c>
      <c r="E139">
        <v>28576</v>
      </c>
      <c r="F139">
        <v>17501</v>
      </c>
      <c r="G139" s="1">
        <v>0.61240000000000006</v>
      </c>
      <c r="H139">
        <v>26</v>
      </c>
      <c r="I139">
        <v>28381</v>
      </c>
    </row>
    <row r="140" spans="1:9" x14ac:dyDescent="0.35">
      <c r="A140" t="s">
        <v>9</v>
      </c>
      <c r="B140" t="s">
        <v>10</v>
      </c>
      <c r="C140" t="s">
        <v>149</v>
      </c>
      <c r="D140" t="str">
        <f>"022303"</f>
        <v>022303</v>
      </c>
      <c r="E140">
        <v>2523</v>
      </c>
      <c r="F140">
        <v>1559</v>
      </c>
      <c r="G140" s="1">
        <v>0.6179</v>
      </c>
      <c r="H140">
        <v>3</v>
      </c>
      <c r="I140">
        <v>2516</v>
      </c>
    </row>
    <row r="141" spans="1:9" x14ac:dyDescent="0.35">
      <c r="A141" t="s">
        <v>9</v>
      </c>
      <c r="B141" t="s">
        <v>10</v>
      </c>
      <c r="C141" t="s">
        <v>150</v>
      </c>
      <c r="D141" t="str">
        <f>"022304"</f>
        <v>022304</v>
      </c>
      <c r="E141">
        <v>20220</v>
      </c>
      <c r="F141">
        <v>12160</v>
      </c>
      <c r="G141" s="1">
        <v>0.60140000000000005</v>
      </c>
      <c r="H141">
        <v>20</v>
      </c>
      <c r="I141">
        <v>20109</v>
      </c>
    </row>
    <row r="142" spans="1:9" x14ac:dyDescent="0.35">
      <c r="A142" t="s">
        <v>9</v>
      </c>
      <c r="B142" t="s">
        <v>10</v>
      </c>
      <c r="C142" t="s">
        <v>151</v>
      </c>
      <c r="D142" t="str">
        <f>"022305"</f>
        <v>022305</v>
      </c>
      <c r="E142">
        <v>16450</v>
      </c>
      <c r="F142">
        <v>10755</v>
      </c>
      <c r="G142" s="1">
        <v>0.65380000000000005</v>
      </c>
      <c r="H142">
        <v>22</v>
      </c>
      <c r="I142">
        <v>16337</v>
      </c>
    </row>
    <row r="143" spans="1:9" x14ac:dyDescent="0.35">
      <c r="A143" t="s">
        <v>9</v>
      </c>
      <c r="B143" t="s">
        <v>10</v>
      </c>
      <c r="C143" t="s">
        <v>152</v>
      </c>
      <c r="D143" t="str">
        <f>"022306"</f>
        <v>022306</v>
      </c>
      <c r="E143">
        <v>2945</v>
      </c>
      <c r="F143">
        <v>1719</v>
      </c>
      <c r="G143" s="1">
        <v>0.5837</v>
      </c>
      <c r="H143">
        <v>5</v>
      </c>
      <c r="I143">
        <v>2931</v>
      </c>
    </row>
    <row r="144" spans="1:9" x14ac:dyDescent="0.35">
      <c r="A144" t="s">
        <v>9</v>
      </c>
      <c r="B144" t="s">
        <v>10</v>
      </c>
      <c r="C144" t="s">
        <v>153</v>
      </c>
      <c r="D144" t="str">
        <f>"022307"</f>
        <v>022307</v>
      </c>
      <c r="E144">
        <v>10061</v>
      </c>
      <c r="F144">
        <v>5731</v>
      </c>
      <c r="G144" s="1">
        <v>0.5696</v>
      </c>
      <c r="H144">
        <v>8</v>
      </c>
      <c r="I144">
        <v>9968</v>
      </c>
    </row>
    <row r="145" spans="1:9" x14ac:dyDescent="0.35">
      <c r="A145" t="s">
        <v>9</v>
      </c>
      <c r="B145" t="s">
        <v>10</v>
      </c>
      <c r="C145" t="s">
        <v>154</v>
      </c>
      <c r="D145" t="str">
        <f>"022308"</f>
        <v>022308</v>
      </c>
      <c r="E145">
        <v>19295</v>
      </c>
      <c r="F145">
        <v>12590</v>
      </c>
      <c r="G145" s="1">
        <v>0.65249999999999997</v>
      </c>
      <c r="H145">
        <v>20</v>
      </c>
      <c r="I145">
        <v>19182</v>
      </c>
    </row>
    <row r="146" spans="1:9" x14ac:dyDescent="0.35">
      <c r="A146" t="s">
        <v>9</v>
      </c>
      <c r="B146" t="s">
        <v>10</v>
      </c>
      <c r="C146" t="s">
        <v>155</v>
      </c>
      <c r="D146" t="str">
        <f>"022309"</f>
        <v>022309</v>
      </c>
      <c r="E146">
        <v>9296</v>
      </c>
      <c r="F146">
        <v>5869</v>
      </c>
      <c r="G146" s="1">
        <v>0.63129999999999997</v>
      </c>
      <c r="H146">
        <v>11</v>
      </c>
      <c r="I146">
        <v>9232</v>
      </c>
    </row>
    <row r="147" spans="1:9" x14ac:dyDescent="0.35">
      <c r="A147" t="s">
        <v>9</v>
      </c>
      <c r="B147" t="s">
        <v>10</v>
      </c>
      <c r="C147" t="s">
        <v>156</v>
      </c>
      <c r="D147" t="str">
        <f>"022401"</f>
        <v>022401</v>
      </c>
      <c r="E147">
        <v>3923</v>
      </c>
      <c r="F147">
        <v>2061</v>
      </c>
      <c r="G147" s="1">
        <v>0.52539999999999998</v>
      </c>
      <c r="H147">
        <v>8</v>
      </c>
      <c r="I147">
        <v>3869</v>
      </c>
    </row>
    <row r="148" spans="1:9" x14ac:dyDescent="0.35">
      <c r="A148" t="s">
        <v>9</v>
      </c>
      <c r="B148" t="s">
        <v>10</v>
      </c>
      <c r="C148" t="s">
        <v>157</v>
      </c>
      <c r="D148" t="str">
        <f>"022402"</f>
        <v>022402</v>
      </c>
      <c r="E148">
        <v>2269</v>
      </c>
      <c r="F148">
        <v>1161</v>
      </c>
      <c r="G148" s="1">
        <v>0.51170000000000004</v>
      </c>
      <c r="H148">
        <v>4</v>
      </c>
      <c r="I148">
        <v>2263</v>
      </c>
    </row>
    <row r="149" spans="1:9" x14ac:dyDescent="0.35">
      <c r="A149" t="s">
        <v>9</v>
      </c>
      <c r="B149" t="s">
        <v>10</v>
      </c>
      <c r="C149" t="s">
        <v>158</v>
      </c>
      <c r="D149" t="str">
        <f>"022403"</f>
        <v>022403</v>
      </c>
      <c r="E149">
        <v>6025</v>
      </c>
      <c r="F149">
        <v>3104</v>
      </c>
      <c r="G149" s="1">
        <v>0.51519999999999999</v>
      </c>
      <c r="H149">
        <v>10</v>
      </c>
      <c r="I149">
        <v>6014</v>
      </c>
    </row>
    <row r="150" spans="1:9" x14ac:dyDescent="0.35">
      <c r="A150" t="s">
        <v>9</v>
      </c>
      <c r="B150" t="s">
        <v>10</v>
      </c>
      <c r="C150" t="s">
        <v>159</v>
      </c>
      <c r="D150" t="str">
        <f>"022404"</f>
        <v>022404</v>
      </c>
      <c r="E150">
        <v>4047</v>
      </c>
      <c r="F150">
        <v>2096</v>
      </c>
      <c r="G150" s="1">
        <v>0.51790000000000003</v>
      </c>
      <c r="H150">
        <v>6</v>
      </c>
      <c r="I150">
        <v>4005</v>
      </c>
    </row>
    <row r="151" spans="1:9" x14ac:dyDescent="0.35">
      <c r="A151" t="s">
        <v>9</v>
      </c>
      <c r="B151" t="s">
        <v>10</v>
      </c>
      <c r="C151" t="s">
        <v>160</v>
      </c>
      <c r="D151" t="str">
        <f>"022405"</f>
        <v>022405</v>
      </c>
      <c r="E151">
        <v>15929</v>
      </c>
      <c r="F151">
        <v>8893</v>
      </c>
      <c r="G151" s="1">
        <v>0.55830000000000002</v>
      </c>
      <c r="H151">
        <v>20</v>
      </c>
      <c r="I151">
        <v>15848</v>
      </c>
    </row>
    <row r="152" spans="1:9" x14ac:dyDescent="0.35">
      <c r="A152" t="s">
        <v>9</v>
      </c>
      <c r="B152" t="s">
        <v>10</v>
      </c>
      <c r="C152" t="s">
        <v>161</v>
      </c>
      <c r="D152" t="str">
        <f>"022406"</f>
        <v>022406</v>
      </c>
      <c r="E152">
        <v>12387</v>
      </c>
      <c r="F152">
        <v>6161</v>
      </c>
      <c r="G152" s="1">
        <v>0.49740000000000001</v>
      </c>
      <c r="H152">
        <v>22</v>
      </c>
      <c r="I152">
        <v>12333</v>
      </c>
    </row>
    <row r="153" spans="1:9" x14ac:dyDescent="0.35">
      <c r="A153" t="s">
        <v>9</v>
      </c>
      <c r="B153" t="s">
        <v>10</v>
      </c>
      <c r="C153" t="s">
        <v>162</v>
      </c>
      <c r="D153" t="str">
        <f>"022407"</f>
        <v>022407</v>
      </c>
      <c r="E153">
        <v>3321</v>
      </c>
      <c r="F153">
        <v>1723</v>
      </c>
      <c r="G153" s="1">
        <v>0.51880000000000004</v>
      </c>
      <c r="H153">
        <v>7</v>
      </c>
      <c r="I153">
        <v>3307</v>
      </c>
    </row>
    <row r="154" spans="1:9" x14ac:dyDescent="0.35">
      <c r="A154" t="s">
        <v>9</v>
      </c>
      <c r="B154" t="s">
        <v>10</v>
      </c>
      <c r="C154" t="s">
        <v>163</v>
      </c>
      <c r="D154" t="str">
        <f>"022501"</f>
        <v>022501</v>
      </c>
      <c r="E154">
        <v>2997</v>
      </c>
      <c r="F154">
        <v>1684</v>
      </c>
      <c r="G154" s="1">
        <v>0.56189999999999996</v>
      </c>
      <c r="H154">
        <v>2</v>
      </c>
      <c r="I154">
        <v>2972</v>
      </c>
    </row>
    <row r="155" spans="1:9" x14ac:dyDescent="0.35">
      <c r="A155" t="s">
        <v>9</v>
      </c>
      <c r="B155" t="s">
        <v>10</v>
      </c>
      <c r="C155" t="s">
        <v>164</v>
      </c>
      <c r="D155" t="str">
        <f>"022502"</f>
        <v>022502</v>
      </c>
      <c r="E155">
        <v>23063</v>
      </c>
      <c r="F155">
        <v>12447</v>
      </c>
      <c r="G155" s="1">
        <v>0.53969999999999996</v>
      </c>
      <c r="H155">
        <v>16</v>
      </c>
      <c r="I155">
        <v>22180</v>
      </c>
    </row>
    <row r="156" spans="1:9" x14ac:dyDescent="0.35">
      <c r="A156" t="s">
        <v>9</v>
      </c>
      <c r="B156" t="s">
        <v>10</v>
      </c>
      <c r="C156" t="s">
        <v>165</v>
      </c>
      <c r="D156" t="str">
        <f>"022503"</f>
        <v>022503</v>
      </c>
      <c r="E156">
        <v>16516</v>
      </c>
      <c r="F156">
        <v>8996</v>
      </c>
      <c r="G156" s="1">
        <v>0.54469999999999996</v>
      </c>
      <c r="H156">
        <v>25</v>
      </c>
      <c r="I156">
        <v>16320</v>
      </c>
    </row>
    <row r="157" spans="1:9" x14ac:dyDescent="0.35">
      <c r="A157" t="s">
        <v>9</v>
      </c>
      <c r="B157" t="s">
        <v>10</v>
      </c>
      <c r="C157" t="s">
        <v>166</v>
      </c>
      <c r="D157" t="str">
        <f>"022504"</f>
        <v>022504</v>
      </c>
      <c r="E157">
        <v>6545</v>
      </c>
      <c r="F157">
        <v>3365</v>
      </c>
      <c r="G157" s="1">
        <v>0.5141</v>
      </c>
      <c r="H157">
        <v>10</v>
      </c>
      <c r="I157">
        <v>6521</v>
      </c>
    </row>
    <row r="158" spans="1:9" x14ac:dyDescent="0.35">
      <c r="A158" t="s">
        <v>9</v>
      </c>
      <c r="B158" t="s">
        <v>10</v>
      </c>
      <c r="C158" t="s">
        <v>167</v>
      </c>
      <c r="D158" t="str">
        <f>"022505"</f>
        <v>022505</v>
      </c>
      <c r="E158">
        <v>4459</v>
      </c>
      <c r="F158">
        <v>2481</v>
      </c>
      <c r="G158" s="1">
        <v>0.55640000000000001</v>
      </c>
      <c r="H158">
        <v>10</v>
      </c>
      <c r="I158">
        <v>4431</v>
      </c>
    </row>
    <row r="159" spans="1:9" x14ac:dyDescent="0.35">
      <c r="A159" t="s">
        <v>9</v>
      </c>
      <c r="B159" t="s">
        <v>10</v>
      </c>
      <c r="C159" t="s">
        <v>168</v>
      </c>
      <c r="D159" t="str">
        <f>"022506"</f>
        <v>022506</v>
      </c>
      <c r="E159">
        <v>6082</v>
      </c>
      <c r="F159">
        <v>2986</v>
      </c>
      <c r="G159" s="1">
        <v>0.49099999999999999</v>
      </c>
      <c r="H159">
        <v>10</v>
      </c>
      <c r="I159">
        <v>6031</v>
      </c>
    </row>
    <row r="160" spans="1:9" x14ac:dyDescent="0.35">
      <c r="A160" t="s">
        <v>9</v>
      </c>
      <c r="B160" t="s">
        <v>10</v>
      </c>
      <c r="C160" t="s">
        <v>169</v>
      </c>
      <c r="D160" t="str">
        <f>"022507"</f>
        <v>022507</v>
      </c>
      <c r="E160">
        <v>6866</v>
      </c>
      <c r="F160">
        <v>3902</v>
      </c>
      <c r="G160" s="1">
        <v>0.56830000000000003</v>
      </c>
      <c r="H160">
        <v>17</v>
      </c>
      <c r="I160">
        <v>6701</v>
      </c>
    </row>
    <row r="161" spans="1:9" x14ac:dyDescent="0.35">
      <c r="A161" t="s">
        <v>9</v>
      </c>
      <c r="B161" t="s">
        <v>10</v>
      </c>
      <c r="C161" t="s">
        <v>170</v>
      </c>
      <c r="D161" t="str">
        <f>"022601"</f>
        <v>022601</v>
      </c>
      <c r="E161">
        <v>2655</v>
      </c>
      <c r="F161">
        <v>1305</v>
      </c>
      <c r="G161" s="1">
        <v>0.49149999999999999</v>
      </c>
      <c r="H161">
        <v>3</v>
      </c>
      <c r="I161">
        <v>2624</v>
      </c>
    </row>
    <row r="162" spans="1:9" x14ac:dyDescent="0.35">
      <c r="A162" t="s">
        <v>9</v>
      </c>
      <c r="B162" t="s">
        <v>10</v>
      </c>
      <c r="C162" t="s">
        <v>171</v>
      </c>
      <c r="D162" t="str">
        <f>"022602"</f>
        <v>022602</v>
      </c>
      <c r="E162">
        <v>10882</v>
      </c>
      <c r="F162">
        <v>6191</v>
      </c>
      <c r="G162" s="1">
        <v>0.56889999999999996</v>
      </c>
      <c r="H162">
        <v>9</v>
      </c>
      <c r="I162">
        <v>10813</v>
      </c>
    </row>
    <row r="163" spans="1:9" x14ac:dyDescent="0.35">
      <c r="A163" t="s">
        <v>9</v>
      </c>
      <c r="B163" t="s">
        <v>10</v>
      </c>
      <c r="C163" t="s">
        <v>172</v>
      </c>
      <c r="D163" t="str">
        <f>"022603"</f>
        <v>022603</v>
      </c>
      <c r="E163">
        <v>3352</v>
      </c>
      <c r="F163">
        <v>1650</v>
      </c>
      <c r="G163" s="1">
        <v>0.49220000000000003</v>
      </c>
      <c r="H163">
        <v>7</v>
      </c>
      <c r="I163">
        <v>3342</v>
      </c>
    </row>
    <row r="164" spans="1:9" x14ac:dyDescent="0.35">
      <c r="A164" t="s">
        <v>9</v>
      </c>
      <c r="B164" t="s">
        <v>10</v>
      </c>
      <c r="C164" t="s">
        <v>173</v>
      </c>
      <c r="D164" t="str">
        <f>"022604"</f>
        <v>022604</v>
      </c>
      <c r="E164">
        <v>5554</v>
      </c>
      <c r="F164">
        <v>2739</v>
      </c>
      <c r="G164" s="1">
        <v>0.49320000000000003</v>
      </c>
      <c r="H164">
        <v>9</v>
      </c>
      <c r="I164">
        <v>5498</v>
      </c>
    </row>
    <row r="165" spans="1:9" x14ac:dyDescent="0.35">
      <c r="A165" t="s">
        <v>9</v>
      </c>
      <c r="B165" t="s">
        <v>10</v>
      </c>
      <c r="C165" t="s">
        <v>174</v>
      </c>
      <c r="D165" t="str">
        <f>"022605"</f>
        <v>022605</v>
      </c>
      <c r="E165">
        <v>3909</v>
      </c>
      <c r="F165">
        <v>2066</v>
      </c>
      <c r="G165" s="1">
        <v>0.52849999999999997</v>
      </c>
      <c r="H165">
        <v>8</v>
      </c>
      <c r="I165">
        <v>3896</v>
      </c>
    </row>
    <row r="166" spans="1:9" x14ac:dyDescent="0.35">
      <c r="A166" t="s">
        <v>9</v>
      </c>
      <c r="B166" t="s">
        <v>10</v>
      </c>
      <c r="C166" t="s">
        <v>175</v>
      </c>
      <c r="D166" t="str">
        <f>"022606"</f>
        <v>022606</v>
      </c>
      <c r="E166">
        <v>5191</v>
      </c>
      <c r="F166">
        <v>2988</v>
      </c>
      <c r="G166" s="1">
        <v>0.5756</v>
      </c>
      <c r="H166">
        <v>8</v>
      </c>
      <c r="I166">
        <v>5143</v>
      </c>
    </row>
    <row r="167" spans="1:9" x14ac:dyDescent="0.35">
      <c r="A167" t="s">
        <v>9</v>
      </c>
      <c r="B167" t="s">
        <v>10</v>
      </c>
      <c r="C167" t="s">
        <v>176</v>
      </c>
      <c r="D167" t="str">
        <f>"026101"</f>
        <v>026101</v>
      </c>
      <c r="E167">
        <v>56666</v>
      </c>
      <c r="F167">
        <v>33624</v>
      </c>
      <c r="G167" s="1">
        <v>0.59340000000000004</v>
      </c>
      <c r="H167">
        <v>41</v>
      </c>
      <c r="I167">
        <v>55851</v>
      </c>
    </row>
    <row r="168" spans="1:9" x14ac:dyDescent="0.35">
      <c r="A168" t="s">
        <v>9</v>
      </c>
      <c r="B168" t="s">
        <v>10</v>
      </c>
      <c r="C168" t="s">
        <v>177</v>
      </c>
      <c r="D168" t="str">
        <f>"026201"</f>
        <v>026201</v>
      </c>
      <c r="E168">
        <v>68572</v>
      </c>
      <c r="F168">
        <v>37955</v>
      </c>
      <c r="G168" s="1">
        <v>0.55349999999999999</v>
      </c>
      <c r="H168">
        <v>47</v>
      </c>
      <c r="I168">
        <v>68188</v>
      </c>
    </row>
    <row r="169" spans="1:9" x14ac:dyDescent="0.35">
      <c r="A169" t="s">
        <v>9</v>
      </c>
      <c r="B169" t="s">
        <v>10</v>
      </c>
      <c r="C169" t="s">
        <v>178</v>
      </c>
      <c r="D169" t="str">
        <f>"026401"</f>
        <v>026401</v>
      </c>
      <c r="E169">
        <v>499817</v>
      </c>
      <c r="F169">
        <v>296052</v>
      </c>
      <c r="G169" s="1">
        <v>0.59230000000000005</v>
      </c>
      <c r="H169">
        <v>286</v>
      </c>
      <c r="I169">
        <v>493354</v>
      </c>
    </row>
    <row r="170" spans="1:9" x14ac:dyDescent="0.35">
      <c r="A170" t="s">
        <v>9</v>
      </c>
      <c r="B170" t="s">
        <v>10</v>
      </c>
      <c r="C170" t="s">
        <v>179</v>
      </c>
      <c r="D170" t="str">
        <f>"026501"</f>
        <v>026501</v>
      </c>
      <c r="E170">
        <v>75197</v>
      </c>
      <c r="F170">
        <v>40887</v>
      </c>
      <c r="G170" s="1">
        <v>0.54369999999999996</v>
      </c>
      <c r="H170">
        <v>57</v>
      </c>
      <c r="I170">
        <v>74611</v>
      </c>
    </row>
    <row r="171" spans="1:9" x14ac:dyDescent="0.35">
      <c r="A171" t="s">
        <v>9</v>
      </c>
      <c r="B171" t="s">
        <v>180</v>
      </c>
      <c r="C171" t="s">
        <v>181</v>
      </c>
      <c r="D171" t="str">
        <f>"040101"</f>
        <v>040101</v>
      </c>
      <c r="E171">
        <v>8833</v>
      </c>
      <c r="F171">
        <v>4685</v>
      </c>
      <c r="G171" s="1">
        <v>0.53039999999999998</v>
      </c>
      <c r="H171">
        <v>8</v>
      </c>
      <c r="I171">
        <v>8798</v>
      </c>
    </row>
    <row r="172" spans="1:9" x14ac:dyDescent="0.35">
      <c r="A172" t="s">
        <v>9</v>
      </c>
      <c r="B172" t="s">
        <v>180</v>
      </c>
      <c r="C172" t="s">
        <v>182</v>
      </c>
      <c r="D172" t="str">
        <f>"040102"</f>
        <v>040102</v>
      </c>
      <c r="E172">
        <v>11124</v>
      </c>
      <c r="F172">
        <v>7050</v>
      </c>
      <c r="G172" s="1">
        <v>0.63380000000000003</v>
      </c>
      <c r="H172">
        <v>7</v>
      </c>
      <c r="I172">
        <v>8676</v>
      </c>
    </row>
    <row r="173" spans="1:9" x14ac:dyDescent="0.35">
      <c r="A173" t="s">
        <v>9</v>
      </c>
      <c r="B173" t="s">
        <v>180</v>
      </c>
      <c r="C173" t="s">
        <v>183</v>
      </c>
      <c r="D173" t="str">
        <f>"040103"</f>
        <v>040103</v>
      </c>
      <c r="E173">
        <v>1403</v>
      </c>
      <c r="F173">
        <v>761</v>
      </c>
      <c r="G173" s="1">
        <v>0.54239999999999999</v>
      </c>
      <c r="H173">
        <v>3</v>
      </c>
      <c r="I173">
        <v>1394</v>
      </c>
    </row>
    <row r="174" spans="1:9" x14ac:dyDescent="0.35">
      <c r="A174" t="s">
        <v>9</v>
      </c>
      <c r="B174" t="s">
        <v>180</v>
      </c>
      <c r="C174" t="s">
        <v>184</v>
      </c>
      <c r="D174" t="str">
        <f>"040104"</f>
        <v>040104</v>
      </c>
      <c r="E174">
        <v>9051</v>
      </c>
      <c r="F174">
        <v>4839</v>
      </c>
      <c r="G174" s="1">
        <v>0.53459999999999996</v>
      </c>
      <c r="H174">
        <v>17</v>
      </c>
      <c r="I174">
        <v>8997</v>
      </c>
    </row>
    <row r="175" spans="1:9" x14ac:dyDescent="0.35">
      <c r="A175" t="s">
        <v>9</v>
      </c>
      <c r="B175" t="s">
        <v>180</v>
      </c>
      <c r="C175" t="s">
        <v>185</v>
      </c>
      <c r="D175" t="str">
        <f>"040105"</f>
        <v>040105</v>
      </c>
      <c r="E175">
        <v>3230</v>
      </c>
      <c r="F175">
        <v>1803</v>
      </c>
      <c r="G175" s="1">
        <v>0.55820000000000003</v>
      </c>
      <c r="H175">
        <v>5</v>
      </c>
      <c r="I175">
        <v>3201</v>
      </c>
    </row>
    <row r="176" spans="1:9" x14ac:dyDescent="0.35">
      <c r="A176" t="s">
        <v>9</v>
      </c>
      <c r="B176" t="s">
        <v>180</v>
      </c>
      <c r="C176" t="s">
        <v>186</v>
      </c>
      <c r="D176" t="str">
        <f>"040106"</f>
        <v>040106</v>
      </c>
      <c r="E176">
        <v>2449</v>
      </c>
      <c r="F176">
        <v>1247</v>
      </c>
      <c r="G176" s="1">
        <v>0.50919999999999999</v>
      </c>
      <c r="H176">
        <v>5</v>
      </c>
      <c r="I176">
        <v>2445</v>
      </c>
    </row>
    <row r="177" spans="1:9" x14ac:dyDescent="0.35">
      <c r="A177" t="s">
        <v>9</v>
      </c>
      <c r="B177" t="s">
        <v>180</v>
      </c>
      <c r="C177" t="s">
        <v>187</v>
      </c>
      <c r="D177" t="str">
        <f>"040107"</f>
        <v>040107</v>
      </c>
      <c r="E177">
        <v>2349</v>
      </c>
      <c r="F177">
        <v>1249</v>
      </c>
      <c r="G177" s="1">
        <v>0.53169999999999995</v>
      </c>
      <c r="H177">
        <v>4</v>
      </c>
      <c r="I177">
        <v>2343</v>
      </c>
    </row>
    <row r="178" spans="1:9" x14ac:dyDescent="0.35">
      <c r="A178" t="s">
        <v>9</v>
      </c>
      <c r="B178" t="s">
        <v>180</v>
      </c>
      <c r="C178" t="s">
        <v>188</v>
      </c>
      <c r="D178" t="str">
        <f>"040108"</f>
        <v>040108</v>
      </c>
      <c r="E178">
        <v>3411</v>
      </c>
      <c r="F178">
        <v>1705</v>
      </c>
      <c r="G178" s="1">
        <v>0.49990000000000001</v>
      </c>
      <c r="H178">
        <v>8</v>
      </c>
      <c r="I178">
        <v>3405</v>
      </c>
    </row>
    <row r="179" spans="1:9" x14ac:dyDescent="0.35">
      <c r="A179" t="s">
        <v>9</v>
      </c>
      <c r="B179" t="s">
        <v>180</v>
      </c>
      <c r="C179" t="s">
        <v>189</v>
      </c>
      <c r="D179" t="str">
        <f>"040109"</f>
        <v>040109</v>
      </c>
      <c r="E179">
        <v>2595</v>
      </c>
      <c r="F179">
        <v>1290</v>
      </c>
      <c r="G179" s="1">
        <v>0.49709999999999999</v>
      </c>
      <c r="H179">
        <v>5</v>
      </c>
      <c r="I179">
        <v>2585</v>
      </c>
    </row>
    <row r="180" spans="1:9" x14ac:dyDescent="0.35">
      <c r="A180" t="s">
        <v>9</v>
      </c>
      <c r="B180" t="s">
        <v>180</v>
      </c>
      <c r="C180" t="s">
        <v>190</v>
      </c>
      <c r="D180" t="str">
        <f>"040201"</f>
        <v>040201</v>
      </c>
      <c r="E180">
        <v>20027</v>
      </c>
      <c r="F180">
        <v>11548</v>
      </c>
      <c r="G180" s="1">
        <v>0.5766</v>
      </c>
      <c r="H180">
        <v>15</v>
      </c>
      <c r="I180">
        <v>19929</v>
      </c>
    </row>
    <row r="181" spans="1:9" x14ac:dyDescent="0.35">
      <c r="A181" t="s">
        <v>9</v>
      </c>
      <c r="B181" t="s">
        <v>180</v>
      </c>
      <c r="C181" t="s">
        <v>191</v>
      </c>
      <c r="D181" t="str">
        <f>"040202"</f>
        <v>040202</v>
      </c>
      <c r="E181">
        <v>4747</v>
      </c>
      <c r="F181">
        <v>2620</v>
      </c>
      <c r="G181" s="1">
        <v>0.55189999999999995</v>
      </c>
      <c r="H181">
        <v>9</v>
      </c>
      <c r="I181">
        <v>4736</v>
      </c>
    </row>
    <row r="182" spans="1:9" x14ac:dyDescent="0.35">
      <c r="A182" t="s">
        <v>9</v>
      </c>
      <c r="B182" t="s">
        <v>180</v>
      </c>
      <c r="C182" t="s">
        <v>192</v>
      </c>
      <c r="D182" t="str">
        <f>"040203"</f>
        <v>040203</v>
      </c>
      <c r="E182">
        <v>6630</v>
      </c>
      <c r="F182">
        <v>3828</v>
      </c>
      <c r="G182" s="1">
        <v>0.57740000000000002</v>
      </c>
      <c r="H182">
        <v>6</v>
      </c>
      <c r="I182">
        <v>6606</v>
      </c>
    </row>
    <row r="183" spans="1:9" x14ac:dyDescent="0.35">
      <c r="A183" t="s">
        <v>9</v>
      </c>
      <c r="B183" t="s">
        <v>180</v>
      </c>
      <c r="C183" t="s">
        <v>193</v>
      </c>
      <c r="D183" t="str">
        <f>"040204"</f>
        <v>040204</v>
      </c>
      <c r="E183">
        <v>2934</v>
      </c>
      <c r="F183">
        <v>1789</v>
      </c>
      <c r="G183" s="1">
        <v>0.60970000000000002</v>
      </c>
      <c r="H183">
        <v>5</v>
      </c>
      <c r="I183">
        <v>2882</v>
      </c>
    </row>
    <row r="184" spans="1:9" x14ac:dyDescent="0.35">
      <c r="A184" t="s">
        <v>9</v>
      </c>
      <c r="B184" t="s">
        <v>180</v>
      </c>
      <c r="C184" t="s">
        <v>194</v>
      </c>
      <c r="D184" t="str">
        <f>"040205"</f>
        <v>040205</v>
      </c>
      <c r="E184">
        <v>2927</v>
      </c>
      <c r="F184">
        <v>1609</v>
      </c>
      <c r="G184" s="1">
        <v>0.54969999999999997</v>
      </c>
      <c r="H184">
        <v>6</v>
      </c>
      <c r="I184">
        <v>2913</v>
      </c>
    </row>
    <row r="185" spans="1:9" x14ac:dyDescent="0.35">
      <c r="A185" t="s">
        <v>9</v>
      </c>
      <c r="B185" t="s">
        <v>180</v>
      </c>
      <c r="C185" t="s">
        <v>195</v>
      </c>
      <c r="D185" t="str">
        <f>"040206"</f>
        <v>040206</v>
      </c>
      <c r="E185">
        <v>3489</v>
      </c>
      <c r="F185">
        <v>1983</v>
      </c>
      <c r="G185" s="1">
        <v>0.56840000000000002</v>
      </c>
      <c r="H185">
        <v>7</v>
      </c>
      <c r="I185">
        <v>3468</v>
      </c>
    </row>
    <row r="186" spans="1:9" x14ac:dyDescent="0.35">
      <c r="A186" t="s">
        <v>9</v>
      </c>
      <c r="B186" t="s">
        <v>180</v>
      </c>
      <c r="C186" t="s">
        <v>196</v>
      </c>
      <c r="D186" t="str">
        <f>"040207"</f>
        <v>040207</v>
      </c>
      <c r="E186">
        <v>6638</v>
      </c>
      <c r="F186">
        <v>3399</v>
      </c>
      <c r="G186" s="1">
        <v>0.5121</v>
      </c>
      <c r="H186">
        <v>10</v>
      </c>
      <c r="I186">
        <v>6555</v>
      </c>
    </row>
    <row r="187" spans="1:9" x14ac:dyDescent="0.35">
      <c r="A187" t="s">
        <v>9</v>
      </c>
      <c r="B187" t="s">
        <v>180</v>
      </c>
      <c r="C187" t="s">
        <v>197</v>
      </c>
      <c r="D187" t="str">
        <f>"040208"</f>
        <v>040208</v>
      </c>
      <c r="E187">
        <v>2975</v>
      </c>
      <c r="F187">
        <v>1457</v>
      </c>
      <c r="G187" s="1">
        <v>0.48970000000000002</v>
      </c>
      <c r="H187">
        <v>3</v>
      </c>
      <c r="I187">
        <v>2962</v>
      </c>
    </row>
    <row r="188" spans="1:9" x14ac:dyDescent="0.35">
      <c r="A188" t="s">
        <v>9</v>
      </c>
      <c r="B188" t="s">
        <v>180</v>
      </c>
      <c r="C188" t="s">
        <v>198</v>
      </c>
      <c r="D188" t="str">
        <f>"040209"</f>
        <v>040209</v>
      </c>
      <c r="E188">
        <v>3856</v>
      </c>
      <c r="F188">
        <v>1976</v>
      </c>
      <c r="G188" s="1">
        <v>0.51239999999999997</v>
      </c>
      <c r="H188">
        <v>7</v>
      </c>
      <c r="I188">
        <v>3855</v>
      </c>
    </row>
    <row r="189" spans="1:9" x14ac:dyDescent="0.35">
      <c r="A189" t="s">
        <v>9</v>
      </c>
      <c r="B189" t="s">
        <v>180</v>
      </c>
      <c r="C189" t="s">
        <v>199</v>
      </c>
      <c r="D189" t="str">
        <f>"040210"</f>
        <v>040210</v>
      </c>
      <c r="E189">
        <v>3808</v>
      </c>
      <c r="F189">
        <v>2222</v>
      </c>
      <c r="G189" s="1">
        <v>0.58350000000000002</v>
      </c>
      <c r="H189">
        <v>6</v>
      </c>
      <c r="I189">
        <v>3782</v>
      </c>
    </row>
    <row r="190" spans="1:9" x14ac:dyDescent="0.35">
      <c r="A190" t="s">
        <v>9</v>
      </c>
      <c r="B190" t="s">
        <v>180</v>
      </c>
      <c r="C190" t="s">
        <v>200</v>
      </c>
      <c r="D190" t="str">
        <f>"040301"</f>
        <v>040301</v>
      </c>
      <c r="E190">
        <v>17857</v>
      </c>
      <c r="F190">
        <v>11553</v>
      </c>
      <c r="G190" s="1">
        <v>0.64700000000000002</v>
      </c>
      <c r="H190">
        <v>16</v>
      </c>
      <c r="I190">
        <v>17762</v>
      </c>
    </row>
    <row r="191" spans="1:9" x14ac:dyDescent="0.35">
      <c r="A191" t="s">
        <v>9</v>
      </c>
      <c r="B191" t="s">
        <v>180</v>
      </c>
      <c r="C191" t="s">
        <v>201</v>
      </c>
      <c r="D191" t="str">
        <f>"040302"</f>
        <v>040302</v>
      </c>
      <c r="E191">
        <v>6471</v>
      </c>
      <c r="F191">
        <v>3588</v>
      </c>
      <c r="G191" s="1">
        <v>0.55449999999999999</v>
      </c>
      <c r="H191">
        <v>11</v>
      </c>
      <c r="I191">
        <v>6432</v>
      </c>
    </row>
    <row r="192" spans="1:9" x14ac:dyDescent="0.35">
      <c r="A192" t="s">
        <v>9</v>
      </c>
      <c r="B192" t="s">
        <v>180</v>
      </c>
      <c r="C192" t="s">
        <v>202</v>
      </c>
      <c r="D192" t="str">
        <f>"040303"</f>
        <v>040303</v>
      </c>
      <c r="E192">
        <v>9361</v>
      </c>
      <c r="F192">
        <v>5746</v>
      </c>
      <c r="G192" s="1">
        <v>0.61380000000000001</v>
      </c>
      <c r="H192">
        <v>13</v>
      </c>
      <c r="I192">
        <v>9327</v>
      </c>
    </row>
    <row r="193" spans="1:9" x14ac:dyDescent="0.35">
      <c r="A193" t="s">
        <v>9</v>
      </c>
      <c r="B193" t="s">
        <v>180</v>
      </c>
      <c r="C193" t="s">
        <v>203</v>
      </c>
      <c r="D193" t="str">
        <f>"040304"</f>
        <v>040304</v>
      </c>
      <c r="E193">
        <v>17578</v>
      </c>
      <c r="F193">
        <v>9713</v>
      </c>
      <c r="G193" s="1">
        <v>0.55259999999999998</v>
      </c>
      <c r="H193">
        <v>25</v>
      </c>
      <c r="I193">
        <v>17435</v>
      </c>
    </row>
    <row r="194" spans="1:9" x14ac:dyDescent="0.35">
      <c r="A194" t="s">
        <v>9</v>
      </c>
      <c r="B194" t="s">
        <v>180</v>
      </c>
      <c r="C194" t="s">
        <v>204</v>
      </c>
      <c r="D194" t="str">
        <f>"040305"</f>
        <v>040305</v>
      </c>
      <c r="E194">
        <v>7846</v>
      </c>
      <c r="F194">
        <v>4248</v>
      </c>
      <c r="G194" s="1">
        <v>0.54139999999999999</v>
      </c>
      <c r="H194">
        <v>10</v>
      </c>
      <c r="I194">
        <v>7800</v>
      </c>
    </row>
    <row r="195" spans="1:9" x14ac:dyDescent="0.35">
      <c r="A195" t="s">
        <v>9</v>
      </c>
      <c r="B195" t="s">
        <v>180</v>
      </c>
      <c r="C195" t="s">
        <v>205</v>
      </c>
      <c r="D195" t="str">
        <f>"040306"</f>
        <v>040306</v>
      </c>
      <c r="E195">
        <v>12628</v>
      </c>
      <c r="F195">
        <v>8909</v>
      </c>
      <c r="G195" s="1">
        <v>0.70550000000000002</v>
      </c>
      <c r="H195">
        <v>14</v>
      </c>
      <c r="I195">
        <v>12519</v>
      </c>
    </row>
    <row r="196" spans="1:9" x14ac:dyDescent="0.35">
      <c r="A196" t="s">
        <v>9</v>
      </c>
      <c r="B196" t="s">
        <v>180</v>
      </c>
      <c r="C196" t="s">
        <v>206</v>
      </c>
      <c r="D196" t="str">
        <f>"040307"</f>
        <v>040307</v>
      </c>
      <c r="E196">
        <v>7813</v>
      </c>
      <c r="F196">
        <v>4663</v>
      </c>
      <c r="G196" s="1">
        <v>0.5968</v>
      </c>
      <c r="H196">
        <v>14</v>
      </c>
      <c r="I196">
        <v>7748</v>
      </c>
    </row>
    <row r="197" spans="1:9" x14ac:dyDescent="0.35">
      <c r="A197" t="s">
        <v>9</v>
      </c>
      <c r="B197" t="s">
        <v>180</v>
      </c>
      <c r="C197" t="s">
        <v>207</v>
      </c>
      <c r="D197" t="str">
        <f>"040308"</f>
        <v>040308</v>
      </c>
      <c r="E197">
        <v>11804</v>
      </c>
      <c r="F197">
        <v>7009</v>
      </c>
      <c r="G197" s="1">
        <v>0.59379999999999999</v>
      </c>
      <c r="H197">
        <v>12</v>
      </c>
      <c r="I197">
        <v>11745</v>
      </c>
    </row>
    <row r="198" spans="1:9" x14ac:dyDescent="0.35">
      <c r="A198" t="s">
        <v>9</v>
      </c>
      <c r="B198" t="s">
        <v>180</v>
      </c>
      <c r="C198" t="s">
        <v>208</v>
      </c>
      <c r="D198" t="str">
        <f>"040401"</f>
        <v>040401</v>
      </c>
      <c r="E198">
        <v>13185</v>
      </c>
      <c r="F198">
        <v>7492</v>
      </c>
      <c r="G198" s="1">
        <v>0.56820000000000004</v>
      </c>
      <c r="H198">
        <v>15</v>
      </c>
      <c r="I198">
        <v>13119</v>
      </c>
    </row>
    <row r="199" spans="1:9" x14ac:dyDescent="0.35">
      <c r="A199" t="s">
        <v>9</v>
      </c>
      <c r="B199" t="s">
        <v>180</v>
      </c>
      <c r="C199" t="s">
        <v>209</v>
      </c>
      <c r="D199" t="str">
        <f>"040402"</f>
        <v>040402</v>
      </c>
      <c r="E199">
        <v>4537</v>
      </c>
      <c r="F199">
        <v>2182</v>
      </c>
      <c r="G199" s="1">
        <v>0.48089999999999999</v>
      </c>
      <c r="H199">
        <v>4</v>
      </c>
      <c r="I199">
        <v>4526</v>
      </c>
    </row>
    <row r="200" spans="1:9" x14ac:dyDescent="0.35">
      <c r="A200" t="s">
        <v>9</v>
      </c>
      <c r="B200" t="s">
        <v>180</v>
      </c>
      <c r="C200" t="s">
        <v>210</v>
      </c>
      <c r="D200" t="str">
        <f>"040403"</f>
        <v>040403</v>
      </c>
      <c r="E200">
        <v>3378</v>
      </c>
      <c r="F200">
        <v>1897</v>
      </c>
      <c r="G200" s="1">
        <v>0.56159999999999999</v>
      </c>
      <c r="H200">
        <v>5</v>
      </c>
      <c r="I200">
        <v>3367</v>
      </c>
    </row>
    <row r="201" spans="1:9" x14ac:dyDescent="0.35">
      <c r="A201" t="s">
        <v>9</v>
      </c>
      <c r="B201" t="s">
        <v>180</v>
      </c>
      <c r="C201" t="s">
        <v>211</v>
      </c>
      <c r="D201" t="str">
        <f>"040404"</f>
        <v>040404</v>
      </c>
      <c r="E201">
        <v>3720</v>
      </c>
      <c r="F201">
        <v>2099</v>
      </c>
      <c r="G201" s="1">
        <v>0.56420000000000003</v>
      </c>
      <c r="H201">
        <v>5</v>
      </c>
      <c r="I201">
        <v>3699</v>
      </c>
    </row>
    <row r="202" spans="1:9" x14ac:dyDescent="0.35">
      <c r="A202" t="s">
        <v>9</v>
      </c>
      <c r="B202" t="s">
        <v>180</v>
      </c>
      <c r="C202" t="s">
        <v>212</v>
      </c>
      <c r="D202" t="str">
        <f>"040405"</f>
        <v>040405</v>
      </c>
      <c r="E202">
        <v>3148</v>
      </c>
      <c r="F202">
        <v>1565</v>
      </c>
      <c r="G202" s="1">
        <v>0.49709999999999999</v>
      </c>
      <c r="H202">
        <v>5</v>
      </c>
      <c r="I202">
        <v>3127</v>
      </c>
    </row>
    <row r="203" spans="1:9" x14ac:dyDescent="0.35">
      <c r="A203" t="s">
        <v>9</v>
      </c>
      <c r="B203" t="s">
        <v>180</v>
      </c>
      <c r="C203" t="s">
        <v>213</v>
      </c>
      <c r="D203" t="str">
        <f>"040406"</f>
        <v>040406</v>
      </c>
      <c r="E203">
        <v>3938</v>
      </c>
      <c r="F203">
        <v>2145</v>
      </c>
      <c r="G203" s="1">
        <v>0.54469999999999996</v>
      </c>
      <c r="H203">
        <v>8</v>
      </c>
      <c r="I203">
        <v>3922</v>
      </c>
    </row>
    <row r="204" spans="1:9" x14ac:dyDescent="0.35">
      <c r="A204" t="s">
        <v>9</v>
      </c>
      <c r="B204" t="s">
        <v>180</v>
      </c>
      <c r="C204" t="s">
        <v>214</v>
      </c>
      <c r="D204" t="str">
        <f>"040407"</f>
        <v>040407</v>
      </c>
      <c r="E204">
        <v>5067</v>
      </c>
      <c r="F204">
        <v>2768</v>
      </c>
      <c r="G204" s="1">
        <v>0.54630000000000001</v>
      </c>
      <c r="H204">
        <v>8</v>
      </c>
      <c r="I204">
        <v>5048</v>
      </c>
    </row>
    <row r="205" spans="1:9" x14ac:dyDescent="0.35">
      <c r="A205" t="s">
        <v>9</v>
      </c>
      <c r="B205" t="s">
        <v>180</v>
      </c>
      <c r="C205" t="s">
        <v>215</v>
      </c>
      <c r="D205" t="str">
        <f>"040501"</f>
        <v>040501</v>
      </c>
      <c r="E205">
        <v>8592</v>
      </c>
      <c r="F205">
        <v>4555</v>
      </c>
      <c r="G205" s="1">
        <v>0.53010000000000002</v>
      </c>
      <c r="H205">
        <v>6</v>
      </c>
      <c r="I205">
        <v>8542</v>
      </c>
    </row>
    <row r="206" spans="1:9" x14ac:dyDescent="0.35">
      <c r="A206" t="s">
        <v>9</v>
      </c>
      <c r="B206" t="s">
        <v>180</v>
      </c>
      <c r="C206" t="s">
        <v>216</v>
      </c>
      <c r="D206" t="str">
        <f>"040502"</f>
        <v>040502</v>
      </c>
      <c r="E206">
        <v>3101</v>
      </c>
      <c r="F206">
        <v>1756</v>
      </c>
      <c r="G206" s="1">
        <v>0.56630000000000003</v>
      </c>
      <c r="H206">
        <v>6</v>
      </c>
      <c r="I206">
        <v>3081</v>
      </c>
    </row>
    <row r="207" spans="1:9" x14ac:dyDescent="0.35">
      <c r="A207" t="s">
        <v>9</v>
      </c>
      <c r="B207" t="s">
        <v>180</v>
      </c>
      <c r="C207" t="s">
        <v>217</v>
      </c>
      <c r="D207" t="str">
        <f>"040503"</f>
        <v>040503</v>
      </c>
      <c r="E207">
        <v>6851</v>
      </c>
      <c r="F207">
        <v>3697</v>
      </c>
      <c r="G207" s="1">
        <v>0.53959999999999997</v>
      </c>
      <c r="H207">
        <v>7</v>
      </c>
      <c r="I207">
        <v>6746</v>
      </c>
    </row>
    <row r="208" spans="1:9" x14ac:dyDescent="0.35">
      <c r="A208" t="s">
        <v>9</v>
      </c>
      <c r="B208" t="s">
        <v>180</v>
      </c>
      <c r="C208" t="s">
        <v>218</v>
      </c>
      <c r="D208" t="str">
        <f>"040504"</f>
        <v>040504</v>
      </c>
      <c r="E208">
        <v>8612</v>
      </c>
      <c r="F208">
        <v>4493</v>
      </c>
      <c r="G208" s="1">
        <v>0.52170000000000005</v>
      </c>
      <c r="H208">
        <v>11</v>
      </c>
      <c r="I208">
        <v>8555</v>
      </c>
    </row>
    <row r="209" spans="1:9" x14ac:dyDescent="0.35">
      <c r="A209" t="s">
        <v>9</v>
      </c>
      <c r="B209" t="s">
        <v>180</v>
      </c>
      <c r="C209" t="s">
        <v>219</v>
      </c>
      <c r="D209" t="str">
        <f>"040505"</f>
        <v>040505</v>
      </c>
      <c r="E209">
        <v>3019</v>
      </c>
      <c r="F209">
        <v>1564</v>
      </c>
      <c r="G209" s="1">
        <v>0.5181</v>
      </c>
      <c r="H209">
        <v>6</v>
      </c>
      <c r="I209">
        <v>3003</v>
      </c>
    </row>
    <row r="210" spans="1:9" x14ac:dyDescent="0.35">
      <c r="A210" t="s">
        <v>9</v>
      </c>
      <c r="B210" t="s">
        <v>180</v>
      </c>
      <c r="C210" t="s">
        <v>220</v>
      </c>
      <c r="D210" t="str">
        <f>"040506"</f>
        <v>040506</v>
      </c>
      <c r="E210">
        <v>3310</v>
      </c>
      <c r="F210">
        <v>1677</v>
      </c>
      <c r="G210" s="1">
        <v>0.50660000000000005</v>
      </c>
      <c r="H210">
        <v>4</v>
      </c>
      <c r="I210">
        <v>3300</v>
      </c>
    </row>
    <row r="211" spans="1:9" x14ac:dyDescent="0.35">
      <c r="A211" t="s">
        <v>9</v>
      </c>
      <c r="B211" t="s">
        <v>180</v>
      </c>
      <c r="C211" t="s">
        <v>221</v>
      </c>
      <c r="D211" t="str">
        <f>"040601"</f>
        <v>040601</v>
      </c>
      <c r="E211">
        <v>9886</v>
      </c>
      <c r="F211">
        <v>5814</v>
      </c>
      <c r="G211" s="1">
        <v>0.58809999999999996</v>
      </c>
      <c r="H211">
        <v>15</v>
      </c>
      <c r="I211">
        <v>9811</v>
      </c>
    </row>
    <row r="212" spans="1:9" x14ac:dyDescent="0.35">
      <c r="A212" t="s">
        <v>9</v>
      </c>
      <c r="B212" t="s">
        <v>180</v>
      </c>
      <c r="C212" t="s">
        <v>222</v>
      </c>
      <c r="D212" t="str">
        <f>"040602"</f>
        <v>040602</v>
      </c>
      <c r="E212">
        <v>4811</v>
      </c>
      <c r="F212">
        <v>2592</v>
      </c>
      <c r="G212" s="1">
        <v>0.53879999999999995</v>
      </c>
      <c r="H212">
        <v>9</v>
      </c>
      <c r="I212">
        <v>4797</v>
      </c>
    </row>
    <row r="213" spans="1:9" x14ac:dyDescent="0.35">
      <c r="A213" t="s">
        <v>9</v>
      </c>
      <c r="B213" t="s">
        <v>180</v>
      </c>
      <c r="C213" t="s">
        <v>223</v>
      </c>
      <c r="D213" t="str">
        <f>"040603"</f>
        <v>040603</v>
      </c>
      <c r="E213">
        <v>5574</v>
      </c>
      <c r="F213">
        <v>2760</v>
      </c>
      <c r="G213" s="1">
        <v>0.49519999999999997</v>
      </c>
      <c r="H213">
        <v>8</v>
      </c>
      <c r="I213">
        <v>5540</v>
      </c>
    </row>
    <row r="214" spans="1:9" x14ac:dyDescent="0.35">
      <c r="A214" t="s">
        <v>9</v>
      </c>
      <c r="B214" t="s">
        <v>180</v>
      </c>
      <c r="C214" t="s">
        <v>224</v>
      </c>
      <c r="D214" t="str">
        <f>"040604"</f>
        <v>040604</v>
      </c>
      <c r="E214">
        <v>3395</v>
      </c>
      <c r="F214">
        <v>1465</v>
      </c>
      <c r="G214" s="1">
        <v>0.43149999999999999</v>
      </c>
      <c r="H214">
        <v>9</v>
      </c>
      <c r="I214">
        <v>3368</v>
      </c>
    </row>
    <row r="215" spans="1:9" x14ac:dyDescent="0.35">
      <c r="A215" t="s">
        <v>9</v>
      </c>
      <c r="B215" t="s">
        <v>180</v>
      </c>
      <c r="C215" t="s">
        <v>225</v>
      </c>
      <c r="D215" t="str">
        <f>"040605"</f>
        <v>040605</v>
      </c>
      <c r="E215">
        <v>3040</v>
      </c>
      <c r="F215">
        <v>1670</v>
      </c>
      <c r="G215" s="1">
        <v>0.54930000000000001</v>
      </c>
      <c r="H215">
        <v>7</v>
      </c>
      <c r="I215">
        <v>3023</v>
      </c>
    </row>
    <row r="216" spans="1:9" x14ac:dyDescent="0.35">
      <c r="A216" t="s">
        <v>9</v>
      </c>
      <c r="B216" t="s">
        <v>180</v>
      </c>
      <c r="C216" t="s">
        <v>226</v>
      </c>
      <c r="D216" t="str">
        <f>"040606"</f>
        <v>040606</v>
      </c>
      <c r="E216">
        <v>3013</v>
      </c>
      <c r="F216">
        <v>1476</v>
      </c>
      <c r="G216" s="1">
        <v>0.4899</v>
      </c>
      <c r="H216">
        <v>8</v>
      </c>
      <c r="I216">
        <v>2993</v>
      </c>
    </row>
    <row r="217" spans="1:9" x14ac:dyDescent="0.35">
      <c r="A217" t="s">
        <v>9</v>
      </c>
      <c r="B217" t="s">
        <v>180</v>
      </c>
      <c r="C217" t="s">
        <v>227</v>
      </c>
      <c r="D217" t="str">
        <f>"040701"</f>
        <v>040701</v>
      </c>
      <c r="E217">
        <v>50893</v>
      </c>
      <c r="F217">
        <v>29704</v>
      </c>
      <c r="G217" s="1">
        <v>0.5837</v>
      </c>
      <c r="H217">
        <v>45</v>
      </c>
      <c r="I217">
        <v>50305</v>
      </c>
    </row>
    <row r="218" spans="1:9" x14ac:dyDescent="0.35">
      <c r="A218" t="s">
        <v>9</v>
      </c>
      <c r="B218" t="s">
        <v>180</v>
      </c>
      <c r="C218" t="s">
        <v>228</v>
      </c>
      <c r="D218" t="str">
        <f>"040702"</f>
        <v>040702</v>
      </c>
      <c r="E218">
        <v>3840</v>
      </c>
      <c r="F218">
        <v>1949</v>
      </c>
      <c r="G218" s="1">
        <v>0.50760000000000005</v>
      </c>
      <c r="H218">
        <v>8</v>
      </c>
      <c r="I218">
        <v>3816</v>
      </c>
    </row>
    <row r="219" spans="1:9" x14ac:dyDescent="0.35">
      <c r="A219" t="s">
        <v>9</v>
      </c>
      <c r="B219" t="s">
        <v>180</v>
      </c>
      <c r="C219" t="s">
        <v>229</v>
      </c>
      <c r="D219" t="str">
        <f>"040703"</f>
        <v>040703</v>
      </c>
      <c r="E219">
        <v>10455</v>
      </c>
      <c r="F219">
        <v>5565</v>
      </c>
      <c r="G219" s="1">
        <v>0.5323</v>
      </c>
      <c r="H219">
        <v>20</v>
      </c>
      <c r="I219">
        <v>10407</v>
      </c>
    </row>
    <row r="220" spans="1:9" x14ac:dyDescent="0.35">
      <c r="A220" t="s">
        <v>9</v>
      </c>
      <c r="B220" t="s">
        <v>180</v>
      </c>
      <c r="C220" t="s">
        <v>230</v>
      </c>
      <c r="D220" t="str">
        <f>"040704"</f>
        <v>040704</v>
      </c>
      <c r="E220">
        <v>9133</v>
      </c>
      <c r="F220">
        <v>5307</v>
      </c>
      <c r="G220" s="1">
        <v>0.58109999999999995</v>
      </c>
      <c r="H220">
        <v>16</v>
      </c>
      <c r="I220">
        <v>9068</v>
      </c>
    </row>
    <row r="221" spans="1:9" x14ac:dyDescent="0.35">
      <c r="A221" t="s">
        <v>9</v>
      </c>
      <c r="B221" t="s">
        <v>180</v>
      </c>
      <c r="C221" t="s">
        <v>231</v>
      </c>
      <c r="D221" t="str">
        <f>"040705"</f>
        <v>040705</v>
      </c>
      <c r="E221">
        <v>9743</v>
      </c>
      <c r="F221">
        <v>5538</v>
      </c>
      <c r="G221" s="1">
        <v>0.56840000000000002</v>
      </c>
      <c r="H221">
        <v>11</v>
      </c>
      <c r="I221">
        <v>9713</v>
      </c>
    </row>
    <row r="222" spans="1:9" x14ac:dyDescent="0.35">
      <c r="A222" t="s">
        <v>9</v>
      </c>
      <c r="B222" t="s">
        <v>180</v>
      </c>
      <c r="C222" t="s">
        <v>232</v>
      </c>
      <c r="D222" t="str">
        <f>"040706"</f>
        <v>040706</v>
      </c>
      <c r="E222">
        <v>13924</v>
      </c>
      <c r="F222">
        <v>7258</v>
      </c>
      <c r="G222" s="1">
        <v>0.52129999999999999</v>
      </c>
      <c r="H222">
        <v>23</v>
      </c>
      <c r="I222">
        <v>13837</v>
      </c>
    </row>
    <row r="223" spans="1:9" x14ac:dyDescent="0.35">
      <c r="A223" t="s">
        <v>9</v>
      </c>
      <c r="B223" t="s">
        <v>180</v>
      </c>
      <c r="C223" t="s">
        <v>233</v>
      </c>
      <c r="D223" t="str">
        <f>"040707"</f>
        <v>040707</v>
      </c>
      <c r="E223">
        <v>7108</v>
      </c>
      <c r="F223">
        <v>3991</v>
      </c>
      <c r="G223" s="1">
        <v>0.5615</v>
      </c>
      <c r="H223">
        <v>11</v>
      </c>
      <c r="I223">
        <v>7103</v>
      </c>
    </row>
    <row r="224" spans="1:9" x14ac:dyDescent="0.35">
      <c r="A224" t="s">
        <v>9</v>
      </c>
      <c r="B224" t="s">
        <v>180</v>
      </c>
      <c r="C224" t="s">
        <v>234</v>
      </c>
      <c r="D224" t="str">
        <f>"040708"</f>
        <v>040708</v>
      </c>
      <c r="E224">
        <v>3504</v>
      </c>
      <c r="F224">
        <v>1795</v>
      </c>
      <c r="G224" s="1">
        <v>0.51229999999999998</v>
      </c>
      <c r="H224">
        <v>8</v>
      </c>
      <c r="I224">
        <v>3498</v>
      </c>
    </row>
    <row r="225" spans="1:9" x14ac:dyDescent="0.35">
      <c r="A225" t="s">
        <v>9</v>
      </c>
      <c r="B225" t="s">
        <v>180</v>
      </c>
      <c r="C225" t="s">
        <v>235</v>
      </c>
      <c r="D225" t="str">
        <f>"040709"</f>
        <v>040709</v>
      </c>
      <c r="E225">
        <v>6772</v>
      </c>
      <c r="F225">
        <v>3675</v>
      </c>
      <c r="G225" s="1">
        <v>0.54269999999999996</v>
      </c>
      <c r="H225">
        <v>12</v>
      </c>
      <c r="I225">
        <v>6717</v>
      </c>
    </row>
    <row r="226" spans="1:9" x14ac:dyDescent="0.35">
      <c r="A226" t="s">
        <v>9</v>
      </c>
      <c r="B226" t="s">
        <v>180</v>
      </c>
      <c r="C226" t="s">
        <v>236</v>
      </c>
      <c r="D226" t="str">
        <f>"040801"</f>
        <v>040801</v>
      </c>
      <c r="E226">
        <v>10009</v>
      </c>
      <c r="F226">
        <v>5407</v>
      </c>
      <c r="G226" s="1">
        <v>0.54020000000000001</v>
      </c>
      <c r="H226">
        <v>9</v>
      </c>
      <c r="I226">
        <v>9934</v>
      </c>
    </row>
    <row r="227" spans="1:9" x14ac:dyDescent="0.35">
      <c r="A227" t="s">
        <v>9</v>
      </c>
      <c r="B227" t="s">
        <v>180</v>
      </c>
      <c r="C227" t="s">
        <v>237</v>
      </c>
      <c r="D227" t="str">
        <f>"040802"</f>
        <v>040802</v>
      </c>
      <c r="E227">
        <v>2295</v>
      </c>
      <c r="F227">
        <v>1174</v>
      </c>
      <c r="G227" s="1">
        <v>0.51149999999999995</v>
      </c>
      <c r="H227">
        <v>5</v>
      </c>
      <c r="I227">
        <v>2294</v>
      </c>
    </row>
    <row r="228" spans="1:9" x14ac:dyDescent="0.35">
      <c r="A228" t="s">
        <v>9</v>
      </c>
      <c r="B228" t="s">
        <v>180</v>
      </c>
      <c r="C228" t="s">
        <v>238</v>
      </c>
      <c r="D228" t="str">
        <f>"040803"</f>
        <v>040803</v>
      </c>
      <c r="E228">
        <v>2187</v>
      </c>
      <c r="F228">
        <v>1085</v>
      </c>
      <c r="G228" s="1">
        <v>0.49609999999999999</v>
      </c>
      <c r="H228">
        <v>4</v>
      </c>
      <c r="I228">
        <v>2182</v>
      </c>
    </row>
    <row r="229" spans="1:9" x14ac:dyDescent="0.35">
      <c r="A229" t="s">
        <v>9</v>
      </c>
      <c r="B229" t="s">
        <v>180</v>
      </c>
      <c r="C229" t="s">
        <v>239</v>
      </c>
      <c r="D229" t="str">
        <f>"040804"</f>
        <v>040804</v>
      </c>
      <c r="E229">
        <v>5675</v>
      </c>
      <c r="F229">
        <v>2904</v>
      </c>
      <c r="G229" s="1">
        <v>0.51170000000000004</v>
      </c>
      <c r="H229">
        <v>10</v>
      </c>
      <c r="I229">
        <v>5632</v>
      </c>
    </row>
    <row r="230" spans="1:9" x14ac:dyDescent="0.35">
      <c r="A230" t="s">
        <v>9</v>
      </c>
      <c r="B230" t="s">
        <v>180</v>
      </c>
      <c r="C230" t="s">
        <v>240</v>
      </c>
      <c r="D230" t="str">
        <f>"040805"</f>
        <v>040805</v>
      </c>
      <c r="E230">
        <v>5261</v>
      </c>
      <c r="F230">
        <v>2714</v>
      </c>
      <c r="G230" s="1">
        <v>0.51590000000000003</v>
      </c>
      <c r="H230">
        <v>13</v>
      </c>
      <c r="I230">
        <v>5242</v>
      </c>
    </row>
    <row r="231" spans="1:9" x14ac:dyDescent="0.35">
      <c r="A231" t="s">
        <v>9</v>
      </c>
      <c r="B231" t="s">
        <v>180</v>
      </c>
      <c r="C231" t="s">
        <v>241</v>
      </c>
      <c r="D231" t="str">
        <f>"040806"</f>
        <v>040806</v>
      </c>
      <c r="E231">
        <v>8766</v>
      </c>
      <c r="F231">
        <v>4473</v>
      </c>
      <c r="G231" s="1">
        <v>0.51029999999999998</v>
      </c>
      <c r="H231">
        <v>13</v>
      </c>
      <c r="I231">
        <v>8737</v>
      </c>
    </row>
    <row r="232" spans="1:9" x14ac:dyDescent="0.35">
      <c r="A232" t="s">
        <v>9</v>
      </c>
      <c r="B232" t="s">
        <v>180</v>
      </c>
      <c r="C232" t="s">
        <v>242</v>
      </c>
      <c r="D232" t="str">
        <f>"040807"</f>
        <v>040807</v>
      </c>
      <c r="E232">
        <v>5658</v>
      </c>
      <c r="F232">
        <v>2981</v>
      </c>
      <c r="G232" s="1">
        <v>0.52690000000000003</v>
      </c>
      <c r="H232">
        <v>10</v>
      </c>
      <c r="I232">
        <v>5569</v>
      </c>
    </row>
    <row r="233" spans="1:9" x14ac:dyDescent="0.35">
      <c r="A233" t="s">
        <v>9</v>
      </c>
      <c r="B233" t="s">
        <v>180</v>
      </c>
      <c r="C233" t="s">
        <v>243</v>
      </c>
      <c r="D233" t="str">
        <f>"040808"</f>
        <v>040808</v>
      </c>
      <c r="E233">
        <v>3546</v>
      </c>
      <c r="F233">
        <v>1790</v>
      </c>
      <c r="G233" s="1">
        <v>0.50480000000000003</v>
      </c>
      <c r="H233">
        <v>6</v>
      </c>
      <c r="I233">
        <v>3530</v>
      </c>
    </row>
    <row r="234" spans="1:9" x14ac:dyDescent="0.35">
      <c r="A234" t="s">
        <v>9</v>
      </c>
      <c r="B234" t="s">
        <v>180</v>
      </c>
      <c r="C234" t="s">
        <v>244</v>
      </c>
      <c r="D234" t="str">
        <f>"040809"</f>
        <v>040809</v>
      </c>
      <c r="E234">
        <v>4864</v>
      </c>
      <c r="F234">
        <v>2368</v>
      </c>
      <c r="G234" s="1">
        <v>0.48680000000000001</v>
      </c>
      <c r="H234">
        <v>12</v>
      </c>
      <c r="I234">
        <v>4842</v>
      </c>
    </row>
    <row r="235" spans="1:9" x14ac:dyDescent="0.35">
      <c r="A235" t="s">
        <v>9</v>
      </c>
      <c r="B235" t="s">
        <v>180</v>
      </c>
      <c r="C235" t="s">
        <v>245</v>
      </c>
      <c r="D235" t="str">
        <f>"040901"</f>
        <v>040901</v>
      </c>
      <c r="E235">
        <v>3433</v>
      </c>
      <c r="F235">
        <v>1756</v>
      </c>
      <c r="G235" s="1">
        <v>0.51149999999999995</v>
      </c>
      <c r="H235">
        <v>6</v>
      </c>
      <c r="I235">
        <v>3424</v>
      </c>
    </row>
    <row r="236" spans="1:9" x14ac:dyDescent="0.35">
      <c r="A236" t="s">
        <v>9</v>
      </c>
      <c r="B236" t="s">
        <v>180</v>
      </c>
      <c r="C236" t="s">
        <v>246</v>
      </c>
      <c r="D236" t="str">
        <f>"040902"</f>
        <v>040902</v>
      </c>
      <c r="E236">
        <v>3535</v>
      </c>
      <c r="F236">
        <v>1823</v>
      </c>
      <c r="G236" s="1">
        <v>0.51570000000000005</v>
      </c>
      <c r="H236">
        <v>7</v>
      </c>
      <c r="I236">
        <v>3526</v>
      </c>
    </row>
    <row r="237" spans="1:9" x14ac:dyDescent="0.35">
      <c r="A237" t="s">
        <v>9</v>
      </c>
      <c r="B237" t="s">
        <v>180</v>
      </c>
      <c r="C237" t="s">
        <v>247</v>
      </c>
      <c r="D237" t="str">
        <f>"040903"</f>
        <v>040903</v>
      </c>
      <c r="E237">
        <v>18545</v>
      </c>
      <c r="F237">
        <v>10081</v>
      </c>
      <c r="G237" s="1">
        <v>0.54359999999999997</v>
      </c>
      <c r="H237">
        <v>20</v>
      </c>
      <c r="I237">
        <v>18508</v>
      </c>
    </row>
    <row r="238" spans="1:9" x14ac:dyDescent="0.35">
      <c r="A238" t="s">
        <v>9</v>
      </c>
      <c r="B238" t="s">
        <v>180</v>
      </c>
      <c r="C238" t="s">
        <v>248</v>
      </c>
      <c r="D238" t="str">
        <f>"040904"</f>
        <v>040904</v>
      </c>
      <c r="E238">
        <v>8591</v>
      </c>
      <c r="F238">
        <v>4667</v>
      </c>
      <c r="G238" s="1">
        <v>0.54320000000000002</v>
      </c>
      <c r="H238">
        <v>13</v>
      </c>
      <c r="I238">
        <v>8559</v>
      </c>
    </row>
    <row r="239" spans="1:9" x14ac:dyDescent="0.35">
      <c r="A239" t="s">
        <v>9</v>
      </c>
      <c r="B239" t="s">
        <v>180</v>
      </c>
      <c r="C239" t="s">
        <v>249</v>
      </c>
      <c r="D239" t="str">
        <f>"041001"</f>
        <v>041001</v>
      </c>
      <c r="E239">
        <v>9565</v>
      </c>
      <c r="F239">
        <v>5002</v>
      </c>
      <c r="G239" s="1">
        <v>0.52290000000000003</v>
      </c>
      <c r="H239">
        <v>16</v>
      </c>
      <c r="I239">
        <v>9523</v>
      </c>
    </row>
    <row r="240" spans="1:9" x14ac:dyDescent="0.35">
      <c r="A240" t="s">
        <v>9</v>
      </c>
      <c r="B240" t="s">
        <v>180</v>
      </c>
      <c r="C240" t="s">
        <v>250</v>
      </c>
      <c r="D240" t="str">
        <f>"041002"</f>
        <v>041002</v>
      </c>
      <c r="E240">
        <v>6676</v>
      </c>
      <c r="F240">
        <v>3384</v>
      </c>
      <c r="G240" s="1">
        <v>0.50690000000000002</v>
      </c>
      <c r="H240">
        <v>15</v>
      </c>
      <c r="I240">
        <v>6652</v>
      </c>
    </row>
    <row r="241" spans="1:9" x14ac:dyDescent="0.35">
      <c r="A241" t="s">
        <v>9</v>
      </c>
      <c r="B241" t="s">
        <v>180</v>
      </c>
      <c r="C241" t="s">
        <v>251</v>
      </c>
      <c r="D241" t="str">
        <f>"041003"</f>
        <v>041003</v>
      </c>
      <c r="E241">
        <v>22386</v>
      </c>
      <c r="F241">
        <v>12605</v>
      </c>
      <c r="G241" s="1">
        <v>0.56310000000000004</v>
      </c>
      <c r="H241">
        <v>29</v>
      </c>
      <c r="I241">
        <v>22311</v>
      </c>
    </row>
    <row r="242" spans="1:9" x14ac:dyDescent="0.35">
      <c r="A242" t="s">
        <v>9</v>
      </c>
      <c r="B242" t="s">
        <v>180</v>
      </c>
      <c r="C242" t="s">
        <v>252</v>
      </c>
      <c r="D242" t="str">
        <f>"041004"</f>
        <v>041004</v>
      </c>
      <c r="E242">
        <v>5360</v>
      </c>
      <c r="F242">
        <v>2837</v>
      </c>
      <c r="G242" s="1">
        <v>0.52929999999999999</v>
      </c>
      <c r="H242">
        <v>12</v>
      </c>
      <c r="I242">
        <v>5317</v>
      </c>
    </row>
    <row r="243" spans="1:9" x14ac:dyDescent="0.35">
      <c r="A243" t="s">
        <v>9</v>
      </c>
      <c r="B243" t="s">
        <v>180</v>
      </c>
      <c r="C243" t="s">
        <v>253</v>
      </c>
      <c r="D243" t="str">
        <f>"041005"</f>
        <v>041005</v>
      </c>
      <c r="E243">
        <v>18363</v>
      </c>
      <c r="F243">
        <v>10436</v>
      </c>
      <c r="G243" s="1">
        <v>0.56830000000000003</v>
      </c>
      <c r="H243">
        <v>23</v>
      </c>
      <c r="I243">
        <v>18291</v>
      </c>
    </row>
    <row r="244" spans="1:9" x14ac:dyDescent="0.35">
      <c r="A244" t="s">
        <v>9</v>
      </c>
      <c r="B244" t="s">
        <v>180</v>
      </c>
      <c r="C244" t="s">
        <v>254</v>
      </c>
      <c r="D244" t="str">
        <f>"041101"</f>
        <v>041101</v>
      </c>
      <c r="E244">
        <v>4019</v>
      </c>
      <c r="F244">
        <v>2183</v>
      </c>
      <c r="G244" s="1">
        <v>0.54320000000000002</v>
      </c>
      <c r="H244">
        <v>5</v>
      </c>
      <c r="I244">
        <v>3991</v>
      </c>
    </row>
    <row r="245" spans="1:9" x14ac:dyDescent="0.35">
      <c r="A245" t="s">
        <v>9</v>
      </c>
      <c r="B245" t="s">
        <v>180</v>
      </c>
      <c r="C245" t="s">
        <v>255</v>
      </c>
      <c r="D245" t="str">
        <f>"041102"</f>
        <v>041102</v>
      </c>
      <c r="E245">
        <v>2651</v>
      </c>
      <c r="F245">
        <v>1351</v>
      </c>
      <c r="G245" s="1">
        <v>0.50960000000000005</v>
      </c>
      <c r="H245">
        <v>5</v>
      </c>
      <c r="I245">
        <v>2638</v>
      </c>
    </row>
    <row r="246" spans="1:9" x14ac:dyDescent="0.35">
      <c r="A246" t="s">
        <v>9</v>
      </c>
      <c r="B246" t="s">
        <v>180</v>
      </c>
      <c r="C246" t="s">
        <v>256</v>
      </c>
      <c r="D246" t="str">
        <f>"041103"</f>
        <v>041103</v>
      </c>
      <c r="E246">
        <v>3976</v>
      </c>
      <c r="F246">
        <v>1856</v>
      </c>
      <c r="G246" s="1">
        <v>0.46679999999999999</v>
      </c>
      <c r="H246">
        <v>6</v>
      </c>
      <c r="I246">
        <v>3962</v>
      </c>
    </row>
    <row r="247" spans="1:9" x14ac:dyDescent="0.35">
      <c r="A247" t="s">
        <v>9</v>
      </c>
      <c r="B247" t="s">
        <v>180</v>
      </c>
      <c r="C247" t="s">
        <v>257</v>
      </c>
      <c r="D247" t="str">
        <f>"041104"</f>
        <v>041104</v>
      </c>
      <c r="E247">
        <v>5859</v>
      </c>
      <c r="F247">
        <v>3033</v>
      </c>
      <c r="G247" s="1">
        <v>0.51770000000000005</v>
      </c>
      <c r="H247">
        <v>9</v>
      </c>
      <c r="I247">
        <v>5847</v>
      </c>
    </row>
    <row r="248" spans="1:9" x14ac:dyDescent="0.35">
      <c r="A248" t="s">
        <v>9</v>
      </c>
      <c r="B248" t="s">
        <v>180</v>
      </c>
      <c r="C248" t="s">
        <v>258</v>
      </c>
      <c r="D248" t="str">
        <f>"041105"</f>
        <v>041105</v>
      </c>
      <c r="E248">
        <v>6907</v>
      </c>
      <c r="F248">
        <v>3253</v>
      </c>
      <c r="G248" s="1">
        <v>0.47099999999999997</v>
      </c>
      <c r="H248">
        <v>12</v>
      </c>
      <c r="I248">
        <v>6887</v>
      </c>
    </row>
    <row r="249" spans="1:9" x14ac:dyDescent="0.35">
      <c r="A249" t="s">
        <v>9</v>
      </c>
      <c r="B249" t="s">
        <v>180</v>
      </c>
      <c r="C249" t="s">
        <v>259</v>
      </c>
      <c r="D249" t="str">
        <f>"041106"</f>
        <v>041106</v>
      </c>
      <c r="E249">
        <v>3338</v>
      </c>
      <c r="F249">
        <v>1798</v>
      </c>
      <c r="G249" s="1">
        <v>0.53859999999999997</v>
      </c>
      <c r="H249">
        <v>10</v>
      </c>
      <c r="I249">
        <v>3325</v>
      </c>
    </row>
    <row r="250" spans="1:9" x14ac:dyDescent="0.35">
      <c r="A250" t="s">
        <v>9</v>
      </c>
      <c r="B250" t="s">
        <v>180</v>
      </c>
      <c r="C250" t="s">
        <v>260</v>
      </c>
      <c r="D250" t="str">
        <f>"041107"</f>
        <v>041107</v>
      </c>
      <c r="E250">
        <v>3762</v>
      </c>
      <c r="F250">
        <v>2028</v>
      </c>
      <c r="G250" s="1">
        <v>0.53910000000000002</v>
      </c>
      <c r="H250">
        <v>7</v>
      </c>
      <c r="I250">
        <v>3745</v>
      </c>
    </row>
    <row r="251" spans="1:9" x14ac:dyDescent="0.35">
      <c r="A251" t="s">
        <v>9</v>
      </c>
      <c r="B251" t="s">
        <v>180</v>
      </c>
      <c r="C251" t="s">
        <v>261</v>
      </c>
      <c r="D251" t="str">
        <f>"041201"</f>
        <v>041201</v>
      </c>
      <c r="E251">
        <v>11738</v>
      </c>
      <c r="F251">
        <v>6566</v>
      </c>
      <c r="G251" s="1">
        <v>0.55940000000000001</v>
      </c>
      <c r="H251">
        <v>15</v>
      </c>
      <c r="I251">
        <v>11666</v>
      </c>
    </row>
    <row r="252" spans="1:9" x14ac:dyDescent="0.35">
      <c r="A252" t="s">
        <v>9</v>
      </c>
      <c r="B252" t="s">
        <v>180</v>
      </c>
      <c r="C252" t="s">
        <v>262</v>
      </c>
      <c r="D252" t="str">
        <f>"041202"</f>
        <v>041202</v>
      </c>
      <c r="E252">
        <v>4001</v>
      </c>
      <c r="F252">
        <v>2178</v>
      </c>
      <c r="G252" s="1">
        <v>0.5444</v>
      </c>
      <c r="H252">
        <v>8</v>
      </c>
      <c r="I252">
        <v>3971</v>
      </c>
    </row>
    <row r="253" spans="1:9" x14ac:dyDescent="0.35">
      <c r="A253" t="s">
        <v>9</v>
      </c>
      <c r="B253" t="s">
        <v>180</v>
      </c>
      <c r="C253" t="s">
        <v>263</v>
      </c>
      <c r="D253" t="str">
        <f>"041203"</f>
        <v>041203</v>
      </c>
      <c r="E253">
        <v>3669</v>
      </c>
      <c r="F253">
        <v>1890</v>
      </c>
      <c r="G253" s="1">
        <v>0.5151</v>
      </c>
      <c r="H253">
        <v>8</v>
      </c>
      <c r="I253">
        <v>3649</v>
      </c>
    </row>
    <row r="254" spans="1:9" x14ac:dyDescent="0.35">
      <c r="A254" t="s">
        <v>9</v>
      </c>
      <c r="B254" t="s">
        <v>180</v>
      </c>
      <c r="C254" t="s">
        <v>264</v>
      </c>
      <c r="D254" t="str">
        <f>"041204"</f>
        <v>041204</v>
      </c>
      <c r="E254">
        <v>5664</v>
      </c>
      <c r="F254">
        <v>2980</v>
      </c>
      <c r="G254" s="1">
        <v>0.52610000000000001</v>
      </c>
      <c r="H254">
        <v>12</v>
      </c>
      <c r="I254">
        <v>5655</v>
      </c>
    </row>
    <row r="255" spans="1:9" x14ac:dyDescent="0.35">
      <c r="A255" t="s">
        <v>9</v>
      </c>
      <c r="B255" t="s">
        <v>180</v>
      </c>
      <c r="C255" t="s">
        <v>265</v>
      </c>
      <c r="D255" t="str">
        <f>"041205"</f>
        <v>041205</v>
      </c>
      <c r="E255">
        <v>4422</v>
      </c>
      <c r="F255">
        <v>2322</v>
      </c>
      <c r="G255" s="1">
        <v>0.52510000000000001</v>
      </c>
      <c r="H255">
        <v>8</v>
      </c>
      <c r="I255">
        <v>4387</v>
      </c>
    </row>
    <row r="256" spans="1:9" x14ac:dyDescent="0.35">
      <c r="A256" t="s">
        <v>9</v>
      </c>
      <c r="B256" t="s">
        <v>180</v>
      </c>
      <c r="C256" t="s">
        <v>266</v>
      </c>
      <c r="D256" t="str">
        <f>"041206"</f>
        <v>041206</v>
      </c>
      <c r="E256">
        <v>3084</v>
      </c>
      <c r="F256">
        <v>1552</v>
      </c>
      <c r="G256" s="1">
        <v>0.50319999999999998</v>
      </c>
      <c r="H256">
        <v>6</v>
      </c>
      <c r="I256">
        <v>3082</v>
      </c>
    </row>
    <row r="257" spans="1:9" x14ac:dyDescent="0.35">
      <c r="A257" t="s">
        <v>9</v>
      </c>
      <c r="B257" t="s">
        <v>180</v>
      </c>
      <c r="C257" t="s">
        <v>267</v>
      </c>
      <c r="D257" t="str">
        <f>"041301"</f>
        <v>041301</v>
      </c>
      <c r="E257">
        <v>4946</v>
      </c>
      <c r="F257">
        <v>2643</v>
      </c>
      <c r="G257" s="1">
        <v>0.53439999999999999</v>
      </c>
      <c r="H257">
        <v>9</v>
      </c>
      <c r="I257">
        <v>4926</v>
      </c>
    </row>
    <row r="258" spans="1:9" x14ac:dyDescent="0.35">
      <c r="A258" t="s">
        <v>9</v>
      </c>
      <c r="B258" t="s">
        <v>180</v>
      </c>
      <c r="C258" t="s">
        <v>268</v>
      </c>
      <c r="D258" t="str">
        <f>"041302"</f>
        <v>041302</v>
      </c>
      <c r="E258">
        <v>11504</v>
      </c>
      <c r="F258">
        <v>6458</v>
      </c>
      <c r="G258" s="1">
        <v>0.56140000000000001</v>
      </c>
      <c r="H258">
        <v>18</v>
      </c>
      <c r="I258">
        <v>11438</v>
      </c>
    </row>
    <row r="259" spans="1:9" x14ac:dyDescent="0.35">
      <c r="A259" t="s">
        <v>9</v>
      </c>
      <c r="B259" t="s">
        <v>180</v>
      </c>
      <c r="C259" t="s">
        <v>269</v>
      </c>
      <c r="D259" t="str">
        <f>"041303"</f>
        <v>041303</v>
      </c>
      <c r="E259">
        <v>3517</v>
      </c>
      <c r="F259">
        <v>1808</v>
      </c>
      <c r="G259" s="1">
        <v>0.5141</v>
      </c>
      <c r="H259">
        <v>8</v>
      </c>
      <c r="I259">
        <v>3511</v>
      </c>
    </row>
    <row r="260" spans="1:9" x14ac:dyDescent="0.35">
      <c r="A260" t="s">
        <v>9</v>
      </c>
      <c r="B260" t="s">
        <v>180</v>
      </c>
      <c r="C260" t="s">
        <v>270</v>
      </c>
      <c r="D260" t="str">
        <f>"041304"</f>
        <v>041304</v>
      </c>
      <c r="E260">
        <v>9461</v>
      </c>
      <c r="F260">
        <v>4896</v>
      </c>
      <c r="G260" s="1">
        <v>0.51749999999999996</v>
      </c>
      <c r="H260">
        <v>15</v>
      </c>
      <c r="I260">
        <v>9370</v>
      </c>
    </row>
    <row r="261" spans="1:9" x14ac:dyDescent="0.35">
      <c r="A261" t="s">
        <v>9</v>
      </c>
      <c r="B261" t="s">
        <v>180</v>
      </c>
      <c r="C261" t="s">
        <v>271</v>
      </c>
      <c r="D261" t="str">
        <f>"041401"</f>
        <v>041401</v>
      </c>
      <c r="E261">
        <v>3716</v>
      </c>
      <c r="F261">
        <v>1953</v>
      </c>
      <c r="G261" s="1">
        <v>0.52559999999999996</v>
      </c>
      <c r="H261">
        <v>6</v>
      </c>
      <c r="I261">
        <v>3701</v>
      </c>
    </row>
    <row r="262" spans="1:9" x14ac:dyDescent="0.35">
      <c r="A262" t="s">
        <v>9</v>
      </c>
      <c r="B262" t="s">
        <v>180</v>
      </c>
      <c r="C262" t="s">
        <v>272</v>
      </c>
      <c r="D262" t="str">
        <f>"041402"</f>
        <v>041402</v>
      </c>
      <c r="E262">
        <v>5151</v>
      </c>
      <c r="F262">
        <v>2791</v>
      </c>
      <c r="G262" s="1">
        <v>0.54179999999999995</v>
      </c>
      <c r="H262">
        <v>12</v>
      </c>
      <c r="I262">
        <v>5132</v>
      </c>
    </row>
    <row r="263" spans="1:9" x14ac:dyDescent="0.35">
      <c r="A263" t="s">
        <v>9</v>
      </c>
      <c r="B263" t="s">
        <v>180</v>
      </c>
      <c r="C263" t="s">
        <v>273</v>
      </c>
      <c r="D263" t="str">
        <f>"041403"</f>
        <v>041403</v>
      </c>
      <c r="E263">
        <v>3683</v>
      </c>
      <c r="F263">
        <v>1877</v>
      </c>
      <c r="G263" s="1">
        <v>0.50960000000000005</v>
      </c>
      <c r="H263">
        <v>6</v>
      </c>
      <c r="I263">
        <v>3664</v>
      </c>
    </row>
    <row r="264" spans="1:9" x14ac:dyDescent="0.35">
      <c r="A264" t="s">
        <v>9</v>
      </c>
      <c r="B264" t="s">
        <v>180</v>
      </c>
      <c r="C264" t="s">
        <v>274</v>
      </c>
      <c r="D264" t="str">
        <f>"041404"</f>
        <v>041404</v>
      </c>
      <c r="E264">
        <v>5857</v>
      </c>
      <c r="F264">
        <v>3086</v>
      </c>
      <c r="G264" s="1">
        <v>0.52690000000000003</v>
      </c>
      <c r="H264">
        <v>8</v>
      </c>
      <c r="I264">
        <v>5827</v>
      </c>
    </row>
    <row r="265" spans="1:9" x14ac:dyDescent="0.35">
      <c r="A265" t="s">
        <v>9</v>
      </c>
      <c r="B265" t="s">
        <v>180</v>
      </c>
      <c r="C265" t="s">
        <v>275</v>
      </c>
      <c r="D265" t="str">
        <f>"041405"</f>
        <v>041405</v>
      </c>
      <c r="E265">
        <v>3129</v>
      </c>
      <c r="F265">
        <v>1783</v>
      </c>
      <c r="G265" s="1">
        <v>0.56979999999999997</v>
      </c>
      <c r="H265">
        <v>5</v>
      </c>
      <c r="I265">
        <v>3121</v>
      </c>
    </row>
    <row r="266" spans="1:9" x14ac:dyDescent="0.35">
      <c r="A266" t="s">
        <v>9</v>
      </c>
      <c r="B266" t="s">
        <v>180</v>
      </c>
      <c r="C266" t="s">
        <v>276</v>
      </c>
      <c r="D266" t="str">
        <f>"041406"</f>
        <v>041406</v>
      </c>
      <c r="E266">
        <v>7290</v>
      </c>
      <c r="F266">
        <v>3772</v>
      </c>
      <c r="G266" s="1">
        <v>0.51739999999999997</v>
      </c>
      <c r="H266">
        <v>11</v>
      </c>
      <c r="I266">
        <v>7290</v>
      </c>
    </row>
    <row r="267" spans="1:9" x14ac:dyDescent="0.35">
      <c r="A267" t="s">
        <v>9</v>
      </c>
      <c r="B267" t="s">
        <v>180</v>
      </c>
      <c r="C267" t="s">
        <v>277</v>
      </c>
      <c r="D267" t="str">
        <f>"041407"</f>
        <v>041407</v>
      </c>
      <c r="E267">
        <v>4235</v>
      </c>
      <c r="F267">
        <v>2262</v>
      </c>
      <c r="G267" s="1">
        <v>0.53410000000000002</v>
      </c>
      <c r="H267">
        <v>6</v>
      </c>
      <c r="I267">
        <v>4164</v>
      </c>
    </row>
    <row r="268" spans="1:9" x14ac:dyDescent="0.35">
      <c r="A268" t="s">
        <v>9</v>
      </c>
      <c r="B268" t="s">
        <v>180</v>
      </c>
      <c r="C268" t="s">
        <v>278</v>
      </c>
      <c r="D268" t="str">
        <f>"041408"</f>
        <v>041408</v>
      </c>
      <c r="E268">
        <v>6860</v>
      </c>
      <c r="F268">
        <v>3916</v>
      </c>
      <c r="G268" s="1">
        <v>0.57079999999999997</v>
      </c>
      <c r="H268">
        <v>14</v>
      </c>
      <c r="I268">
        <v>6833</v>
      </c>
    </row>
    <row r="269" spans="1:9" x14ac:dyDescent="0.35">
      <c r="A269" t="s">
        <v>9</v>
      </c>
      <c r="B269" t="s">
        <v>180</v>
      </c>
      <c r="C269" t="s">
        <v>279</v>
      </c>
      <c r="D269" t="str">
        <f>"041409"</f>
        <v>041409</v>
      </c>
      <c r="E269">
        <v>23667</v>
      </c>
      <c r="F269">
        <v>13156</v>
      </c>
      <c r="G269" s="1">
        <v>0.55589999999999995</v>
      </c>
      <c r="H269">
        <v>23</v>
      </c>
      <c r="I269">
        <v>23545</v>
      </c>
    </row>
    <row r="270" spans="1:9" x14ac:dyDescent="0.35">
      <c r="A270" t="s">
        <v>9</v>
      </c>
      <c r="B270" t="s">
        <v>180</v>
      </c>
      <c r="C270" t="s">
        <v>280</v>
      </c>
      <c r="D270" t="str">
        <f>"041410"</f>
        <v>041410</v>
      </c>
      <c r="E270">
        <v>2819</v>
      </c>
      <c r="F270">
        <v>1621</v>
      </c>
      <c r="G270" s="1">
        <v>0.57499999999999996</v>
      </c>
      <c r="H270">
        <v>8</v>
      </c>
      <c r="I270">
        <v>2802</v>
      </c>
    </row>
    <row r="271" spans="1:9" x14ac:dyDescent="0.35">
      <c r="A271" t="s">
        <v>9</v>
      </c>
      <c r="B271" t="s">
        <v>180</v>
      </c>
      <c r="C271" t="s">
        <v>281</v>
      </c>
      <c r="D271" t="str">
        <f>"041411"</f>
        <v>041411</v>
      </c>
      <c r="E271">
        <v>4742</v>
      </c>
      <c r="F271">
        <v>2386</v>
      </c>
      <c r="G271" s="1">
        <v>0.50319999999999998</v>
      </c>
      <c r="H271">
        <v>8</v>
      </c>
      <c r="I271">
        <v>4690</v>
      </c>
    </row>
    <row r="272" spans="1:9" x14ac:dyDescent="0.35">
      <c r="A272" t="s">
        <v>9</v>
      </c>
      <c r="B272" t="s">
        <v>180</v>
      </c>
      <c r="C272" t="s">
        <v>282</v>
      </c>
      <c r="D272" t="str">
        <f>"041501"</f>
        <v>041501</v>
      </c>
      <c r="E272">
        <v>10057</v>
      </c>
      <c r="F272">
        <v>5191</v>
      </c>
      <c r="G272" s="1">
        <v>0.51619999999999999</v>
      </c>
      <c r="H272">
        <v>7</v>
      </c>
      <c r="I272">
        <v>9992</v>
      </c>
    </row>
    <row r="273" spans="1:9" x14ac:dyDescent="0.35">
      <c r="A273" t="s">
        <v>9</v>
      </c>
      <c r="B273" t="s">
        <v>180</v>
      </c>
      <c r="C273" t="s">
        <v>283</v>
      </c>
      <c r="D273" t="str">
        <f>"041502"</f>
        <v>041502</v>
      </c>
      <c r="E273">
        <v>7123</v>
      </c>
      <c r="F273">
        <v>3843</v>
      </c>
      <c r="G273" s="1">
        <v>0.53949999999999998</v>
      </c>
      <c r="H273">
        <v>12</v>
      </c>
      <c r="I273">
        <v>7089</v>
      </c>
    </row>
    <row r="274" spans="1:9" x14ac:dyDescent="0.35">
      <c r="A274" t="s">
        <v>9</v>
      </c>
      <c r="B274" t="s">
        <v>180</v>
      </c>
      <c r="C274" t="s">
        <v>284</v>
      </c>
      <c r="D274" t="str">
        <f>"041503"</f>
        <v>041503</v>
      </c>
      <c r="E274">
        <v>6749</v>
      </c>
      <c r="F274">
        <v>3539</v>
      </c>
      <c r="G274" s="1">
        <v>0.52439999999999998</v>
      </c>
      <c r="H274">
        <v>8</v>
      </c>
      <c r="I274">
        <v>6720</v>
      </c>
    </row>
    <row r="275" spans="1:9" x14ac:dyDescent="0.35">
      <c r="A275" t="s">
        <v>9</v>
      </c>
      <c r="B275" t="s">
        <v>180</v>
      </c>
      <c r="C275" t="s">
        <v>285</v>
      </c>
      <c r="D275" t="str">
        <f>"041504"</f>
        <v>041504</v>
      </c>
      <c r="E275">
        <v>15269</v>
      </c>
      <c r="F275">
        <v>9330</v>
      </c>
      <c r="G275" s="1">
        <v>0.61099999999999999</v>
      </c>
      <c r="H275">
        <v>16</v>
      </c>
      <c r="I275">
        <v>15215</v>
      </c>
    </row>
    <row r="276" spans="1:9" x14ac:dyDescent="0.35">
      <c r="A276" t="s">
        <v>9</v>
      </c>
      <c r="B276" t="s">
        <v>180</v>
      </c>
      <c r="C276" t="s">
        <v>286</v>
      </c>
      <c r="D276" t="str">
        <f>"041505"</f>
        <v>041505</v>
      </c>
      <c r="E276">
        <v>5823</v>
      </c>
      <c r="F276">
        <v>3577</v>
      </c>
      <c r="G276" s="1">
        <v>0.61429999999999996</v>
      </c>
      <c r="H276">
        <v>8</v>
      </c>
      <c r="I276">
        <v>5792</v>
      </c>
    </row>
    <row r="277" spans="1:9" x14ac:dyDescent="0.35">
      <c r="A277" t="s">
        <v>9</v>
      </c>
      <c r="B277" t="s">
        <v>180</v>
      </c>
      <c r="C277" t="s">
        <v>287</v>
      </c>
      <c r="D277" t="str">
        <f>"041506"</f>
        <v>041506</v>
      </c>
      <c r="E277">
        <v>7875</v>
      </c>
      <c r="F277">
        <v>4633</v>
      </c>
      <c r="G277" s="1">
        <v>0.58830000000000005</v>
      </c>
      <c r="H277">
        <v>7</v>
      </c>
      <c r="I277">
        <v>7816</v>
      </c>
    </row>
    <row r="278" spans="1:9" x14ac:dyDescent="0.35">
      <c r="A278" t="s">
        <v>9</v>
      </c>
      <c r="B278" t="s">
        <v>180</v>
      </c>
      <c r="C278" t="s">
        <v>288</v>
      </c>
      <c r="D278" t="str">
        <f>"041507"</f>
        <v>041507</v>
      </c>
      <c r="E278">
        <v>14144</v>
      </c>
      <c r="F278">
        <v>8674</v>
      </c>
      <c r="G278" s="1">
        <v>0.61329999999999996</v>
      </c>
      <c r="H278">
        <v>10</v>
      </c>
      <c r="I278">
        <v>14096</v>
      </c>
    </row>
    <row r="279" spans="1:9" x14ac:dyDescent="0.35">
      <c r="A279" t="s">
        <v>9</v>
      </c>
      <c r="B279" t="s">
        <v>180</v>
      </c>
      <c r="C279" t="s">
        <v>289</v>
      </c>
      <c r="D279" t="str">
        <f>"041508"</f>
        <v>041508</v>
      </c>
      <c r="E279">
        <v>3789</v>
      </c>
      <c r="F279">
        <v>2375</v>
      </c>
      <c r="G279" s="1">
        <v>0.62680000000000002</v>
      </c>
      <c r="H279">
        <v>5</v>
      </c>
      <c r="I279">
        <v>3742</v>
      </c>
    </row>
    <row r="280" spans="1:9" x14ac:dyDescent="0.35">
      <c r="A280" t="s">
        <v>9</v>
      </c>
      <c r="B280" t="s">
        <v>180</v>
      </c>
      <c r="C280" t="s">
        <v>290</v>
      </c>
      <c r="D280" t="str">
        <f>"041509"</f>
        <v>041509</v>
      </c>
      <c r="E280">
        <v>11386</v>
      </c>
      <c r="F280">
        <v>6728</v>
      </c>
      <c r="G280" s="1">
        <v>0.59089999999999998</v>
      </c>
      <c r="H280">
        <v>12</v>
      </c>
      <c r="I280">
        <v>11301</v>
      </c>
    </row>
    <row r="281" spans="1:9" x14ac:dyDescent="0.35">
      <c r="A281" t="s">
        <v>9</v>
      </c>
      <c r="B281" t="s">
        <v>180</v>
      </c>
      <c r="C281" t="s">
        <v>291</v>
      </c>
      <c r="D281" t="str">
        <f>"041601"</f>
        <v>041601</v>
      </c>
      <c r="E281">
        <v>5281</v>
      </c>
      <c r="F281">
        <v>3142</v>
      </c>
      <c r="G281" s="1">
        <v>0.59499999999999997</v>
      </c>
      <c r="H281">
        <v>11</v>
      </c>
      <c r="I281">
        <v>5229</v>
      </c>
    </row>
    <row r="282" spans="1:9" x14ac:dyDescent="0.35">
      <c r="A282" t="s">
        <v>9</v>
      </c>
      <c r="B282" t="s">
        <v>180</v>
      </c>
      <c r="C282" t="s">
        <v>292</v>
      </c>
      <c r="D282" t="str">
        <f>"041602"</f>
        <v>041602</v>
      </c>
      <c r="E282">
        <v>3876</v>
      </c>
      <c r="F282">
        <v>2043</v>
      </c>
      <c r="G282" s="1">
        <v>0.52710000000000001</v>
      </c>
      <c r="H282">
        <v>6</v>
      </c>
      <c r="I282">
        <v>3868</v>
      </c>
    </row>
    <row r="283" spans="1:9" x14ac:dyDescent="0.35">
      <c r="A283" t="s">
        <v>9</v>
      </c>
      <c r="B283" t="s">
        <v>180</v>
      </c>
      <c r="C283" t="s">
        <v>293</v>
      </c>
      <c r="D283" t="str">
        <f>"041603"</f>
        <v>041603</v>
      </c>
      <c r="E283">
        <v>3320</v>
      </c>
      <c r="F283">
        <v>1806</v>
      </c>
      <c r="G283" s="1">
        <v>0.54400000000000004</v>
      </c>
      <c r="H283">
        <v>7</v>
      </c>
      <c r="I283">
        <v>3305</v>
      </c>
    </row>
    <row r="284" spans="1:9" x14ac:dyDescent="0.35">
      <c r="A284" t="s">
        <v>9</v>
      </c>
      <c r="B284" t="s">
        <v>180</v>
      </c>
      <c r="C284" t="s">
        <v>294</v>
      </c>
      <c r="D284" t="str">
        <f>"041604"</f>
        <v>041604</v>
      </c>
      <c r="E284">
        <v>4512</v>
      </c>
      <c r="F284">
        <v>2496</v>
      </c>
      <c r="G284" s="1">
        <v>0.55320000000000003</v>
      </c>
      <c r="H284">
        <v>8</v>
      </c>
      <c r="I284">
        <v>4495</v>
      </c>
    </row>
    <row r="285" spans="1:9" x14ac:dyDescent="0.35">
      <c r="A285" t="s">
        <v>9</v>
      </c>
      <c r="B285" t="s">
        <v>180</v>
      </c>
      <c r="C285" t="s">
        <v>295</v>
      </c>
      <c r="D285" t="str">
        <f>"041605"</f>
        <v>041605</v>
      </c>
      <c r="E285">
        <v>4372</v>
      </c>
      <c r="F285">
        <v>2586</v>
      </c>
      <c r="G285" s="1">
        <v>0.59150000000000003</v>
      </c>
      <c r="H285">
        <v>7</v>
      </c>
      <c r="I285">
        <v>4342</v>
      </c>
    </row>
    <row r="286" spans="1:9" x14ac:dyDescent="0.35">
      <c r="A286" t="s">
        <v>9</v>
      </c>
      <c r="B286" t="s">
        <v>180</v>
      </c>
      <c r="C286" t="s">
        <v>296</v>
      </c>
      <c r="D286" t="str">
        <f>"041606"</f>
        <v>041606</v>
      </c>
      <c r="E286">
        <v>14608</v>
      </c>
      <c r="F286">
        <v>8592</v>
      </c>
      <c r="G286" s="1">
        <v>0.58819999999999995</v>
      </c>
      <c r="H286">
        <v>19</v>
      </c>
      <c r="I286">
        <v>14512</v>
      </c>
    </row>
    <row r="287" spans="1:9" x14ac:dyDescent="0.35">
      <c r="A287" t="s">
        <v>9</v>
      </c>
      <c r="B287" t="s">
        <v>180</v>
      </c>
      <c r="C287" t="s">
        <v>297</v>
      </c>
      <c r="D287" t="str">
        <f>"041701"</f>
        <v>041701</v>
      </c>
      <c r="E287">
        <v>9358</v>
      </c>
      <c r="F287">
        <v>4921</v>
      </c>
      <c r="G287" s="1">
        <v>0.52590000000000003</v>
      </c>
      <c r="H287">
        <v>10</v>
      </c>
      <c r="I287">
        <v>9322</v>
      </c>
    </row>
    <row r="288" spans="1:9" x14ac:dyDescent="0.35">
      <c r="A288" t="s">
        <v>9</v>
      </c>
      <c r="B288" t="s">
        <v>180</v>
      </c>
      <c r="C288" t="s">
        <v>298</v>
      </c>
      <c r="D288" t="str">
        <f>"041702"</f>
        <v>041702</v>
      </c>
      <c r="E288">
        <v>2366</v>
      </c>
      <c r="F288">
        <v>1107</v>
      </c>
      <c r="G288" s="1">
        <v>0.46789999999999998</v>
      </c>
      <c r="H288">
        <v>3</v>
      </c>
      <c r="I288">
        <v>2352</v>
      </c>
    </row>
    <row r="289" spans="1:9" x14ac:dyDescent="0.35">
      <c r="A289" t="s">
        <v>9</v>
      </c>
      <c r="B289" t="s">
        <v>180</v>
      </c>
      <c r="C289" t="s">
        <v>299</v>
      </c>
      <c r="D289" t="str">
        <f>"041703"</f>
        <v>041703</v>
      </c>
      <c r="E289">
        <v>3053</v>
      </c>
      <c r="F289">
        <v>1519</v>
      </c>
      <c r="G289" s="1">
        <v>0.4975</v>
      </c>
      <c r="H289">
        <v>4</v>
      </c>
      <c r="I289">
        <v>3033</v>
      </c>
    </row>
    <row r="290" spans="1:9" x14ac:dyDescent="0.35">
      <c r="A290" t="s">
        <v>9</v>
      </c>
      <c r="B290" t="s">
        <v>180</v>
      </c>
      <c r="C290" t="s">
        <v>300</v>
      </c>
      <c r="D290" t="str">
        <f>"041704"</f>
        <v>041704</v>
      </c>
      <c r="E290">
        <v>3521</v>
      </c>
      <c r="F290">
        <v>1788</v>
      </c>
      <c r="G290" s="1">
        <v>0.50780000000000003</v>
      </c>
      <c r="H290">
        <v>5</v>
      </c>
      <c r="I290">
        <v>3507</v>
      </c>
    </row>
    <row r="291" spans="1:9" x14ac:dyDescent="0.35">
      <c r="A291" t="s">
        <v>9</v>
      </c>
      <c r="B291" t="s">
        <v>180</v>
      </c>
      <c r="C291" t="s">
        <v>301</v>
      </c>
      <c r="D291" t="str">
        <f>"041705"</f>
        <v>041705</v>
      </c>
      <c r="E291">
        <v>6455</v>
      </c>
      <c r="F291">
        <v>3250</v>
      </c>
      <c r="G291" s="1">
        <v>0.50349999999999995</v>
      </c>
      <c r="H291">
        <v>11</v>
      </c>
      <c r="I291">
        <v>6435</v>
      </c>
    </row>
    <row r="292" spans="1:9" x14ac:dyDescent="0.35">
      <c r="A292" t="s">
        <v>9</v>
      </c>
      <c r="B292" t="s">
        <v>180</v>
      </c>
      <c r="C292" t="s">
        <v>302</v>
      </c>
      <c r="D292" t="str">
        <f>"041801"</f>
        <v>041801</v>
      </c>
      <c r="E292">
        <v>2552</v>
      </c>
      <c r="F292">
        <v>1407</v>
      </c>
      <c r="G292" s="1">
        <v>0.55130000000000001</v>
      </c>
      <c r="H292">
        <v>3</v>
      </c>
      <c r="I292">
        <v>2544</v>
      </c>
    </row>
    <row r="293" spans="1:9" x14ac:dyDescent="0.35">
      <c r="A293" t="s">
        <v>9</v>
      </c>
      <c r="B293" t="s">
        <v>180</v>
      </c>
      <c r="C293" t="s">
        <v>303</v>
      </c>
      <c r="D293" t="str">
        <f>"041802"</f>
        <v>041802</v>
      </c>
      <c r="E293">
        <v>2652</v>
      </c>
      <c r="F293">
        <v>1460</v>
      </c>
      <c r="G293" s="1">
        <v>0.55049999999999999</v>
      </c>
      <c r="H293">
        <v>6</v>
      </c>
      <c r="I293">
        <v>2627</v>
      </c>
    </row>
    <row r="294" spans="1:9" x14ac:dyDescent="0.35">
      <c r="A294" t="s">
        <v>9</v>
      </c>
      <c r="B294" t="s">
        <v>180</v>
      </c>
      <c r="C294" t="s">
        <v>304</v>
      </c>
      <c r="D294" t="str">
        <f>"041803"</f>
        <v>041803</v>
      </c>
      <c r="E294">
        <v>2596</v>
      </c>
      <c r="F294">
        <v>1542</v>
      </c>
      <c r="G294" s="1">
        <v>0.59399999999999997</v>
      </c>
      <c r="H294">
        <v>7</v>
      </c>
      <c r="I294">
        <v>2587</v>
      </c>
    </row>
    <row r="295" spans="1:9" x14ac:dyDescent="0.35">
      <c r="A295" t="s">
        <v>9</v>
      </c>
      <c r="B295" t="s">
        <v>180</v>
      </c>
      <c r="C295" t="s">
        <v>305</v>
      </c>
      <c r="D295" t="str">
        <f>"041804"</f>
        <v>041804</v>
      </c>
      <c r="E295">
        <v>9138</v>
      </c>
      <c r="F295">
        <v>4804</v>
      </c>
      <c r="G295" s="1">
        <v>0.52569999999999995</v>
      </c>
      <c r="H295">
        <v>11</v>
      </c>
      <c r="I295">
        <v>8607</v>
      </c>
    </row>
    <row r="296" spans="1:9" x14ac:dyDescent="0.35">
      <c r="A296" t="s">
        <v>9</v>
      </c>
      <c r="B296" t="s">
        <v>180</v>
      </c>
      <c r="C296" t="s">
        <v>306</v>
      </c>
      <c r="D296" t="str">
        <f>"041805"</f>
        <v>041805</v>
      </c>
      <c r="E296">
        <v>6003</v>
      </c>
      <c r="F296">
        <v>2831</v>
      </c>
      <c r="G296" s="1">
        <v>0.47160000000000002</v>
      </c>
      <c r="H296">
        <v>8</v>
      </c>
      <c r="I296">
        <v>5981</v>
      </c>
    </row>
    <row r="297" spans="1:9" x14ac:dyDescent="0.35">
      <c r="A297" t="s">
        <v>9</v>
      </c>
      <c r="B297" t="s">
        <v>180</v>
      </c>
      <c r="C297" t="s">
        <v>307</v>
      </c>
      <c r="D297" t="str">
        <f>"041806"</f>
        <v>041806</v>
      </c>
      <c r="E297">
        <v>4573</v>
      </c>
      <c r="F297">
        <v>2203</v>
      </c>
      <c r="G297" s="1">
        <v>0.48170000000000002</v>
      </c>
      <c r="H297">
        <v>8</v>
      </c>
      <c r="I297">
        <v>4550</v>
      </c>
    </row>
    <row r="298" spans="1:9" x14ac:dyDescent="0.35">
      <c r="A298" t="s">
        <v>9</v>
      </c>
      <c r="B298" t="s">
        <v>180</v>
      </c>
      <c r="C298" t="s">
        <v>308</v>
      </c>
      <c r="D298" t="str">
        <f>"041807"</f>
        <v>041807</v>
      </c>
      <c r="E298">
        <v>7593</v>
      </c>
      <c r="F298">
        <v>4344</v>
      </c>
      <c r="G298" s="1">
        <v>0.57210000000000005</v>
      </c>
      <c r="H298">
        <v>6</v>
      </c>
      <c r="I298">
        <v>7568</v>
      </c>
    </row>
    <row r="299" spans="1:9" x14ac:dyDescent="0.35">
      <c r="A299" t="s">
        <v>9</v>
      </c>
      <c r="B299" t="s">
        <v>180</v>
      </c>
      <c r="C299" t="s">
        <v>309</v>
      </c>
      <c r="D299" t="str">
        <f>"041808"</f>
        <v>041808</v>
      </c>
      <c r="E299">
        <v>5708</v>
      </c>
      <c r="F299">
        <v>2698</v>
      </c>
      <c r="G299" s="1">
        <v>0.47270000000000001</v>
      </c>
      <c r="H299">
        <v>6</v>
      </c>
      <c r="I299">
        <v>5685</v>
      </c>
    </row>
    <row r="300" spans="1:9" x14ac:dyDescent="0.35">
      <c r="A300" t="s">
        <v>9</v>
      </c>
      <c r="B300" t="s">
        <v>180</v>
      </c>
      <c r="C300" t="s">
        <v>310</v>
      </c>
      <c r="D300" t="str">
        <f>"041809"</f>
        <v>041809</v>
      </c>
      <c r="E300">
        <v>3106</v>
      </c>
      <c r="F300">
        <v>1654</v>
      </c>
      <c r="G300" s="1">
        <v>0.53249999999999997</v>
      </c>
      <c r="H300">
        <v>6</v>
      </c>
      <c r="I300">
        <v>3081</v>
      </c>
    </row>
    <row r="301" spans="1:9" x14ac:dyDescent="0.35">
      <c r="A301" t="s">
        <v>9</v>
      </c>
      <c r="B301" t="s">
        <v>180</v>
      </c>
      <c r="C301" t="s">
        <v>311</v>
      </c>
      <c r="D301" t="str">
        <f>"041810"</f>
        <v>041810</v>
      </c>
      <c r="E301">
        <v>3490</v>
      </c>
      <c r="F301">
        <v>1961</v>
      </c>
      <c r="G301" s="1">
        <v>0.56189999999999996</v>
      </c>
      <c r="H301">
        <v>5</v>
      </c>
      <c r="I301">
        <v>3489</v>
      </c>
    </row>
    <row r="302" spans="1:9" x14ac:dyDescent="0.35">
      <c r="A302" t="s">
        <v>9</v>
      </c>
      <c r="B302" t="s">
        <v>180</v>
      </c>
      <c r="C302" t="s">
        <v>312</v>
      </c>
      <c r="D302" t="str">
        <f>"041811"</f>
        <v>041811</v>
      </c>
      <c r="E302">
        <v>5432</v>
      </c>
      <c r="F302">
        <v>2647</v>
      </c>
      <c r="G302" s="1">
        <v>0.48730000000000001</v>
      </c>
      <c r="H302">
        <v>9</v>
      </c>
      <c r="I302">
        <v>5389</v>
      </c>
    </row>
    <row r="303" spans="1:9" x14ac:dyDescent="0.35">
      <c r="A303" t="s">
        <v>9</v>
      </c>
      <c r="B303" t="s">
        <v>180</v>
      </c>
      <c r="C303" t="s">
        <v>313</v>
      </c>
      <c r="D303" t="str">
        <f>"041812"</f>
        <v>041812</v>
      </c>
      <c r="E303">
        <v>7209</v>
      </c>
      <c r="F303">
        <v>3667</v>
      </c>
      <c r="G303" s="1">
        <v>0.50870000000000004</v>
      </c>
      <c r="H303">
        <v>11</v>
      </c>
      <c r="I303">
        <v>7151</v>
      </c>
    </row>
    <row r="304" spans="1:9" x14ac:dyDescent="0.35">
      <c r="A304" t="s">
        <v>9</v>
      </c>
      <c r="B304" t="s">
        <v>180</v>
      </c>
      <c r="C304" t="s">
        <v>314</v>
      </c>
      <c r="D304" t="str">
        <f>"041813"</f>
        <v>041813</v>
      </c>
      <c r="E304">
        <v>5762</v>
      </c>
      <c r="F304">
        <v>3409</v>
      </c>
      <c r="G304" s="1">
        <v>0.59160000000000001</v>
      </c>
      <c r="H304">
        <v>10</v>
      </c>
      <c r="I304">
        <v>5687</v>
      </c>
    </row>
    <row r="305" spans="1:9" x14ac:dyDescent="0.35">
      <c r="A305" t="s">
        <v>9</v>
      </c>
      <c r="B305" t="s">
        <v>180</v>
      </c>
      <c r="C305" t="s">
        <v>315</v>
      </c>
      <c r="D305" t="str">
        <f>"041901"</f>
        <v>041901</v>
      </c>
      <c r="E305">
        <v>10670</v>
      </c>
      <c r="F305">
        <v>6025</v>
      </c>
      <c r="G305" s="1">
        <v>0.56469999999999998</v>
      </c>
      <c r="H305">
        <v>20</v>
      </c>
      <c r="I305">
        <v>10635</v>
      </c>
    </row>
    <row r="306" spans="1:9" x14ac:dyDescent="0.35">
      <c r="A306" t="s">
        <v>9</v>
      </c>
      <c r="B306" t="s">
        <v>180</v>
      </c>
      <c r="C306" t="s">
        <v>316</v>
      </c>
      <c r="D306" t="str">
        <f>"041902"</f>
        <v>041902</v>
      </c>
      <c r="E306">
        <v>3992</v>
      </c>
      <c r="F306">
        <v>2413</v>
      </c>
      <c r="G306" s="1">
        <v>0.60450000000000004</v>
      </c>
      <c r="H306">
        <v>10</v>
      </c>
      <c r="I306">
        <v>3960</v>
      </c>
    </row>
    <row r="307" spans="1:9" x14ac:dyDescent="0.35">
      <c r="A307" t="s">
        <v>9</v>
      </c>
      <c r="B307" t="s">
        <v>180</v>
      </c>
      <c r="C307" t="s">
        <v>317</v>
      </c>
      <c r="D307" t="str">
        <f>"041903"</f>
        <v>041903</v>
      </c>
      <c r="E307">
        <v>6586</v>
      </c>
      <c r="F307">
        <v>3502</v>
      </c>
      <c r="G307" s="1">
        <v>0.53169999999999995</v>
      </c>
      <c r="H307">
        <v>15</v>
      </c>
      <c r="I307">
        <v>6559</v>
      </c>
    </row>
    <row r="308" spans="1:9" x14ac:dyDescent="0.35">
      <c r="A308" t="s">
        <v>9</v>
      </c>
      <c r="B308" t="s">
        <v>180</v>
      </c>
      <c r="C308" t="s">
        <v>318</v>
      </c>
      <c r="D308" t="str">
        <f>"041904"</f>
        <v>041904</v>
      </c>
      <c r="E308">
        <v>7927</v>
      </c>
      <c r="F308">
        <v>4341</v>
      </c>
      <c r="G308" s="1">
        <v>0.54759999999999998</v>
      </c>
      <c r="H308">
        <v>13</v>
      </c>
      <c r="I308">
        <v>7870</v>
      </c>
    </row>
    <row r="309" spans="1:9" x14ac:dyDescent="0.35">
      <c r="A309" t="s">
        <v>9</v>
      </c>
      <c r="B309" t="s">
        <v>180</v>
      </c>
      <c r="C309" t="s">
        <v>263</v>
      </c>
      <c r="D309" t="str">
        <f>"041905"</f>
        <v>041905</v>
      </c>
      <c r="E309">
        <v>5070</v>
      </c>
      <c r="F309">
        <v>2929</v>
      </c>
      <c r="G309" s="1">
        <v>0.57769999999999999</v>
      </c>
      <c r="H309">
        <v>11</v>
      </c>
      <c r="I309">
        <v>5061</v>
      </c>
    </row>
    <row r="310" spans="1:9" x14ac:dyDescent="0.35">
      <c r="A310" t="s">
        <v>9</v>
      </c>
      <c r="B310" t="s">
        <v>180</v>
      </c>
      <c r="C310" t="s">
        <v>319</v>
      </c>
      <c r="D310" t="str">
        <f>"041906"</f>
        <v>041906</v>
      </c>
      <c r="E310">
        <v>17831</v>
      </c>
      <c r="F310">
        <v>10144</v>
      </c>
      <c r="G310" s="1">
        <v>0.56889999999999996</v>
      </c>
      <c r="H310">
        <v>25</v>
      </c>
      <c r="I310">
        <v>17670</v>
      </c>
    </row>
    <row r="311" spans="1:9" x14ac:dyDescent="0.35">
      <c r="A311" t="s">
        <v>9</v>
      </c>
      <c r="B311" t="s">
        <v>180</v>
      </c>
      <c r="C311" t="s">
        <v>320</v>
      </c>
      <c r="D311" t="str">
        <f>"046101"</f>
        <v>046101</v>
      </c>
      <c r="E311">
        <v>241767</v>
      </c>
      <c r="F311">
        <v>148853</v>
      </c>
      <c r="G311" s="1">
        <v>0.61570000000000003</v>
      </c>
      <c r="H311">
        <v>189</v>
      </c>
      <c r="I311">
        <v>239728</v>
      </c>
    </row>
    <row r="312" spans="1:9" x14ac:dyDescent="0.35">
      <c r="A312" t="s">
        <v>9</v>
      </c>
      <c r="B312" t="s">
        <v>180</v>
      </c>
      <c r="C312" t="s">
        <v>321</v>
      </c>
      <c r="D312" t="str">
        <f>"046201"</f>
        <v>046201</v>
      </c>
      <c r="E312">
        <v>61632</v>
      </c>
      <c r="F312">
        <v>35062</v>
      </c>
      <c r="G312" s="1">
        <v>0.56889999999999996</v>
      </c>
      <c r="H312">
        <v>49</v>
      </c>
      <c r="I312">
        <v>60940</v>
      </c>
    </row>
    <row r="313" spans="1:9" x14ac:dyDescent="0.35">
      <c r="A313" t="s">
        <v>9</v>
      </c>
      <c r="B313" t="s">
        <v>180</v>
      </c>
      <c r="C313" t="s">
        <v>322</v>
      </c>
      <c r="D313" t="str">
        <f>"046301"</f>
        <v>046301</v>
      </c>
      <c r="E313">
        <v>143953</v>
      </c>
      <c r="F313">
        <v>86403</v>
      </c>
      <c r="G313" s="1">
        <v>0.60019999999999996</v>
      </c>
      <c r="H313">
        <v>113</v>
      </c>
      <c r="I313">
        <v>142022</v>
      </c>
    </row>
    <row r="314" spans="1:9" x14ac:dyDescent="0.35">
      <c r="A314" t="s">
        <v>9</v>
      </c>
      <c r="B314" t="s">
        <v>180</v>
      </c>
      <c r="C314" t="s">
        <v>323</v>
      </c>
      <c r="D314" t="str">
        <f>"046401"</f>
        <v>046401</v>
      </c>
      <c r="E314">
        <v>77435</v>
      </c>
      <c r="F314">
        <v>41849</v>
      </c>
      <c r="G314" s="1">
        <v>0.54039999999999999</v>
      </c>
      <c r="H314">
        <v>63</v>
      </c>
      <c r="I314">
        <v>76039</v>
      </c>
    </row>
    <row r="315" spans="1:9" x14ac:dyDescent="0.35">
      <c r="A315" t="s">
        <v>9</v>
      </c>
      <c r="B315" t="s">
        <v>324</v>
      </c>
      <c r="C315" t="s">
        <v>325</v>
      </c>
      <c r="D315" t="str">
        <f>"060101"</f>
        <v>060101</v>
      </c>
      <c r="E315">
        <v>12169</v>
      </c>
      <c r="F315">
        <v>6895</v>
      </c>
      <c r="G315" s="1">
        <v>0.56659999999999999</v>
      </c>
      <c r="H315">
        <v>10</v>
      </c>
      <c r="I315">
        <v>12105</v>
      </c>
    </row>
    <row r="316" spans="1:9" x14ac:dyDescent="0.35">
      <c r="A316" t="s">
        <v>9</v>
      </c>
      <c r="B316" t="s">
        <v>324</v>
      </c>
      <c r="C316" t="s">
        <v>326</v>
      </c>
      <c r="D316" t="str">
        <f>"060102"</f>
        <v>060102</v>
      </c>
      <c r="E316">
        <v>4113</v>
      </c>
      <c r="F316">
        <v>2285</v>
      </c>
      <c r="G316" s="1">
        <v>0.55559999999999998</v>
      </c>
      <c r="H316">
        <v>3</v>
      </c>
      <c r="I316">
        <v>4074</v>
      </c>
    </row>
    <row r="317" spans="1:9" x14ac:dyDescent="0.35">
      <c r="A317" t="s">
        <v>9</v>
      </c>
      <c r="B317" t="s">
        <v>324</v>
      </c>
      <c r="C317" t="s">
        <v>327</v>
      </c>
      <c r="D317" t="str">
        <f>"060103"</f>
        <v>060103</v>
      </c>
      <c r="E317">
        <v>11020</v>
      </c>
      <c r="F317">
        <v>6399</v>
      </c>
      <c r="G317" s="1">
        <v>0.58069999999999999</v>
      </c>
      <c r="H317">
        <v>16</v>
      </c>
      <c r="I317">
        <v>10975</v>
      </c>
    </row>
    <row r="318" spans="1:9" x14ac:dyDescent="0.35">
      <c r="A318" t="s">
        <v>9</v>
      </c>
      <c r="B318" t="s">
        <v>324</v>
      </c>
      <c r="C318" t="s">
        <v>328</v>
      </c>
      <c r="D318" t="str">
        <f>"060104"</f>
        <v>060104</v>
      </c>
      <c r="E318">
        <v>4064</v>
      </c>
      <c r="F318">
        <v>1954</v>
      </c>
      <c r="G318" s="1">
        <v>0.48080000000000001</v>
      </c>
      <c r="H318">
        <v>5</v>
      </c>
      <c r="I318">
        <v>4046</v>
      </c>
    </row>
    <row r="319" spans="1:9" x14ac:dyDescent="0.35">
      <c r="A319" t="s">
        <v>9</v>
      </c>
      <c r="B319" t="s">
        <v>324</v>
      </c>
      <c r="C319" t="s">
        <v>329</v>
      </c>
      <c r="D319" t="str">
        <f>"060105"</f>
        <v>060105</v>
      </c>
      <c r="E319">
        <v>4125</v>
      </c>
      <c r="F319">
        <v>2291</v>
      </c>
      <c r="G319" s="1">
        <v>0.5554</v>
      </c>
      <c r="H319">
        <v>5</v>
      </c>
      <c r="I319">
        <v>3983</v>
      </c>
    </row>
    <row r="320" spans="1:9" x14ac:dyDescent="0.35">
      <c r="A320" t="s">
        <v>9</v>
      </c>
      <c r="B320" t="s">
        <v>324</v>
      </c>
      <c r="C320" t="s">
        <v>330</v>
      </c>
      <c r="D320" t="str">
        <f>"060106"</f>
        <v>060106</v>
      </c>
      <c r="E320">
        <v>2836</v>
      </c>
      <c r="F320">
        <v>1720</v>
      </c>
      <c r="G320" s="1">
        <v>0.60650000000000004</v>
      </c>
      <c r="H320">
        <v>5</v>
      </c>
      <c r="I320">
        <v>2711</v>
      </c>
    </row>
    <row r="321" spans="1:9" x14ac:dyDescent="0.35">
      <c r="A321" t="s">
        <v>9</v>
      </c>
      <c r="B321" t="s">
        <v>324</v>
      </c>
      <c r="C321" t="s">
        <v>331</v>
      </c>
      <c r="D321" t="str">
        <f>"060107"</f>
        <v>060107</v>
      </c>
      <c r="E321">
        <v>2955</v>
      </c>
      <c r="F321">
        <v>1609</v>
      </c>
      <c r="G321" s="1">
        <v>0.54449999999999998</v>
      </c>
      <c r="H321">
        <v>5</v>
      </c>
      <c r="I321">
        <v>2937</v>
      </c>
    </row>
    <row r="322" spans="1:9" x14ac:dyDescent="0.35">
      <c r="A322" t="s">
        <v>9</v>
      </c>
      <c r="B322" t="s">
        <v>324</v>
      </c>
      <c r="C322" t="s">
        <v>332</v>
      </c>
      <c r="D322" t="str">
        <f>"060108"</f>
        <v>060108</v>
      </c>
      <c r="E322">
        <v>3252</v>
      </c>
      <c r="F322">
        <v>1877</v>
      </c>
      <c r="G322" s="1">
        <v>0.57720000000000005</v>
      </c>
      <c r="H322">
        <v>4</v>
      </c>
      <c r="I322">
        <v>3230</v>
      </c>
    </row>
    <row r="323" spans="1:9" x14ac:dyDescent="0.35">
      <c r="A323" t="s">
        <v>9</v>
      </c>
      <c r="B323" t="s">
        <v>324</v>
      </c>
      <c r="C323" t="s">
        <v>333</v>
      </c>
      <c r="D323" t="str">
        <f>"060109"</f>
        <v>060109</v>
      </c>
      <c r="E323">
        <v>3731</v>
      </c>
      <c r="F323">
        <v>2160</v>
      </c>
      <c r="G323" s="1">
        <v>0.57889999999999997</v>
      </c>
      <c r="H323">
        <v>8</v>
      </c>
      <c r="I323">
        <v>3716</v>
      </c>
    </row>
    <row r="324" spans="1:9" x14ac:dyDescent="0.35">
      <c r="A324" t="s">
        <v>9</v>
      </c>
      <c r="B324" t="s">
        <v>324</v>
      </c>
      <c r="C324" t="s">
        <v>334</v>
      </c>
      <c r="D324" t="str">
        <f>"060110"</f>
        <v>060110</v>
      </c>
      <c r="E324">
        <v>7790</v>
      </c>
      <c r="F324">
        <v>4547</v>
      </c>
      <c r="G324" s="1">
        <v>0.5837</v>
      </c>
      <c r="H324">
        <v>15</v>
      </c>
      <c r="I324">
        <v>7756</v>
      </c>
    </row>
    <row r="325" spans="1:9" x14ac:dyDescent="0.35">
      <c r="A325" t="s">
        <v>9</v>
      </c>
      <c r="B325" t="s">
        <v>324</v>
      </c>
      <c r="C325" t="s">
        <v>335</v>
      </c>
      <c r="D325" t="str">
        <f>"060111"</f>
        <v>060111</v>
      </c>
      <c r="E325">
        <v>5358</v>
      </c>
      <c r="F325">
        <v>2731</v>
      </c>
      <c r="G325" s="1">
        <v>0.50970000000000004</v>
      </c>
      <c r="H325">
        <v>7</v>
      </c>
      <c r="I325">
        <v>5311</v>
      </c>
    </row>
    <row r="326" spans="1:9" x14ac:dyDescent="0.35">
      <c r="A326" t="s">
        <v>9</v>
      </c>
      <c r="B326" t="s">
        <v>324</v>
      </c>
      <c r="C326" t="s">
        <v>336</v>
      </c>
      <c r="D326" t="str">
        <f>"060112"</f>
        <v>060112</v>
      </c>
      <c r="E326">
        <v>2226</v>
      </c>
      <c r="F326">
        <v>1228</v>
      </c>
      <c r="G326" s="1">
        <v>0.55169999999999997</v>
      </c>
      <c r="H326">
        <v>6</v>
      </c>
      <c r="I326">
        <v>2188</v>
      </c>
    </row>
    <row r="327" spans="1:9" x14ac:dyDescent="0.35">
      <c r="A327" t="s">
        <v>9</v>
      </c>
      <c r="B327" t="s">
        <v>324</v>
      </c>
      <c r="C327" t="s">
        <v>337</v>
      </c>
      <c r="D327" t="str">
        <f>"060113"</f>
        <v>060113</v>
      </c>
      <c r="E327">
        <v>1682</v>
      </c>
      <c r="F327">
        <v>1056</v>
      </c>
      <c r="G327" s="1">
        <v>0.62780000000000002</v>
      </c>
      <c r="H327">
        <v>3</v>
      </c>
      <c r="I327">
        <v>1670</v>
      </c>
    </row>
    <row r="328" spans="1:9" x14ac:dyDescent="0.35">
      <c r="A328" t="s">
        <v>9</v>
      </c>
      <c r="B328" t="s">
        <v>324</v>
      </c>
      <c r="C328" t="s">
        <v>338</v>
      </c>
      <c r="D328" t="str">
        <f>"060114"</f>
        <v>060114</v>
      </c>
      <c r="E328">
        <v>1825</v>
      </c>
      <c r="F328">
        <v>1016</v>
      </c>
      <c r="G328" s="1">
        <v>0.55669999999999997</v>
      </c>
      <c r="H328">
        <v>4</v>
      </c>
      <c r="I328">
        <v>1723</v>
      </c>
    </row>
    <row r="329" spans="1:9" x14ac:dyDescent="0.35">
      <c r="A329" t="s">
        <v>9</v>
      </c>
      <c r="B329" t="s">
        <v>324</v>
      </c>
      <c r="C329" t="s">
        <v>339</v>
      </c>
      <c r="D329" t="str">
        <f>"060115"</f>
        <v>060115</v>
      </c>
      <c r="E329">
        <v>1814</v>
      </c>
      <c r="F329">
        <v>1001</v>
      </c>
      <c r="G329" s="1">
        <v>0.55179999999999996</v>
      </c>
      <c r="H329">
        <v>4</v>
      </c>
      <c r="I329">
        <v>1779</v>
      </c>
    </row>
    <row r="330" spans="1:9" x14ac:dyDescent="0.35">
      <c r="A330" t="s">
        <v>9</v>
      </c>
      <c r="B330" t="s">
        <v>324</v>
      </c>
      <c r="C330" t="s">
        <v>340</v>
      </c>
      <c r="D330" t="str">
        <f>"060116"</f>
        <v>060116</v>
      </c>
      <c r="E330">
        <v>4890</v>
      </c>
      <c r="F330">
        <v>2670</v>
      </c>
      <c r="G330" s="1">
        <v>0.54600000000000004</v>
      </c>
      <c r="H330">
        <v>11</v>
      </c>
      <c r="I330">
        <v>4865</v>
      </c>
    </row>
    <row r="331" spans="1:9" x14ac:dyDescent="0.35">
      <c r="A331" t="s">
        <v>9</v>
      </c>
      <c r="B331" t="s">
        <v>324</v>
      </c>
      <c r="C331" t="s">
        <v>341</v>
      </c>
      <c r="D331" t="str">
        <f>"060117"</f>
        <v>060117</v>
      </c>
      <c r="E331">
        <v>2317</v>
      </c>
      <c r="F331">
        <v>1138</v>
      </c>
      <c r="G331" s="1">
        <v>0.49120000000000003</v>
      </c>
      <c r="H331">
        <v>3</v>
      </c>
      <c r="I331">
        <v>2267</v>
      </c>
    </row>
    <row r="332" spans="1:9" x14ac:dyDescent="0.35">
      <c r="A332" t="s">
        <v>9</v>
      </c>
      <c r="B332" t="s">
        <v>324</v>
      </c>
      <c r="C332" t="s">
        <v>342</v>
      </c>
      <c r="D332" t="str">
        <f>"060118"</f>
        <v>060118</v>
      </c>
      <c r="E332">
        <v>3649</v>
      </c>
      <c r="F332">
        <v>1999</v>
      </c>
      <c r="G332" s="1">
        <v>0.54779999999999995</v>
      </c>
      <c r="H332">
        <v>7</v>
      </c>
      <c r="I332">
        <v>3628</v>
      </c>
    </row>
    <row r="333" spans="1:9" x14ac:dyDescent="0.35">
      <c r="A333" t="s">
        <v>9</v>
      </c>
      <c r="B333" t="s">
        <v>324</v>
      </c>
      <c r="C333" t="s">
        <v>343</v>
      </c>
      <c r="D333" t="str">
        <f>"060119"</f>
        <v>060119</v>
      </c>
      <c r="E333">
        <v>3289</v>
      </c>
      <c r="F333">
        <v>1740</v>
      </c>
      <c r="G333" s="1">
        <v>0.52900000000000003</v>
      </c>
      <c r="H333">
        <v>6</v>
      </c>
      <c r="I333">
        <v>3247</v>
      </c>
    </row>
    <row r="334" spans="1:9" x14ac:dyDescent="0.35">
      <c r="A334" t="s">
        <v>9</v>
      </c>
      <c r="B334" t="s">
        <v>324</v>
      </c>
      <c r="C334" t="s">
        <v>344</v>
      </c>
      <c r="D334" t="str">
        <f>"060201"</f>
        <v>060201</v>
      </c>
      <c r="E334">
        <v>19194</v>
      </c>
      <c r="F334">
        <v>10291</v>
      </c>
      <c r="G334" s="1">
        <v>0.53620000000000001</v>
      </c>
      <c r="H334">
        <v>13</v>
      </c>
      <c r="I334">
        <v>19041</v>
      </c>
    </row>
    <row r="335" spans="1:9" x14ac:dyDescent="0.35">
      <c r="A335" t="s">
        <v>9</v>
      </c>
      <c r="B335" t="s">
        <v>324</v>
      </c>
      <c r="C335" t="s">
        <v>345</v>
      </c>
      <c r="D335" t="str">
        <f>"060202"</f>
        <v>060202</v>
      </c>
      <c r="E335">
        <v>2494</v>
      </c>
      <c r="F335">
        <v>1285</v>
      </c>
      <c r="G335" s="1">
        <v>0.51519999999999999</v>
      </c>
      <c r="H335">
        <v>4</v>
      </c>
      <c r="I335">
        <v>2488</v>
      </c>
    </row>
    <row r="336" spans="1:9" x14ac:dyDescent="0.35">
      <c r="A336" t="s">
        <v>9</v>
      </c>
      <c r="B336" t="s">
        <v>324</v>
      </c>
      <c r="C336" t="s">
        <v>346</v>
      </c>
      <c r="D336" t="str">
        <f>"060203"</f>
        <v>060203</v>
      </c>
      <c r="E336">
        <v>10065</v>
      </c>
      <c r="F336">
        <v>5543</v>
      </c>
      <c r="G336" s="1">
        <v>0.55069999999999997</v>
      </c>
      <c r="H336">
        <v>16</v>
      </c>
      <c r="I336">
        <v>10003</v>
      </c>
    </row>
    <row r="337" spans="1:9" x14ac:dyDescent="0.35">
      <c r="A337" t="s">
        <v>9</v>
      </c>
      <c r="B337" t="s">
        <v>324</v>
      </c>
      <c r="C337" t="s">
        <v>347</v>
      </c>
      <c r="D337" t="str">
        <f>"060204"</f>
        <v>060204</v>
      </c>
      <c r="E337">
        <v>2908</v>
      </c>
      <c r="F337">
        <v>1519</v>
      </c>
      <c r="G337" s="1">
        <v>0.52239999999999998</v>
      </c>
      <c r="H337">
        <v>4</v>
      </c>
      <c r="I337">
        <v>2896</v>
      </c>
    </row>
    <row r="338" spans="1:9" x14ac:dyDescent="0.35">
      <c r="A338" t="s">
        <v>9</v>
      </c>
      <c r="B338" t="s">
        <v>324</v>
      </c>
      <c r="C338" t="s">
        <v>348</v>
      </c>
      <c r="D338" t="str">
        <f>"060205"</f>
        <v>060205</v>
      </c>
      <c r="E338">
        <v>4625</v>
      </c>
      <c r="F338">
        <v>2421</v>
      </c>
      <c r="G338" s="1">
        <v>0.52349999999999997</v>
      </c>
      <c r="H338">
        <v>9</v>
      </c>
      <c r="I338">
        <v>4616</v>
      </c>
    </row>
    <row r="339" spans="1:9" x14ac:dyDescent="0.35">
      <c r="A339" t="s">
        <v>9</v>
      </c>
      <c r="B339" t="s">
        <v>324</v>
      </c>
      <c r="C339" t="s">
        <v>349</v>
      </c>
      <c r="D339" t="str">
        <f>"060206"</f>
        <v>060206</v>
      </c>
      <c r="E339">
        <v>3139</v>
      </c>
      <c r="F339">
        <v>1746</v>
      </c>
      <c r="G339" s="1">
        <v>0.55620000000000003</v>
      </c>
      <c r="H339">
        <v>6</v>
      </c>
      <c r="I339">
        <v>3128</v>
      </c>
    </row>
    <row r="340" spans="1:9" x14ac:dyDescent="0.35">
      <c r="A340" t="s">
        <v>9</v>
      </c>
      <c r="B340" t="s">
        <v>324</v>
      </c>
      <c r="C340" t="s">
        <v>350</v>
      </c>
      <c r="D340" t="str">
        <f>"060207"</f>
        <v>060207</v>
      </c>
      <c r="E340">
        <v>5202</v>
      </c>
      <c r="F340">
        <v>2590</v>
      </c>
      <c r="G340" s="1">
        <v>0.49790000000000001</v>
      </c>
      <c r="H340">
        <v>10</v>
      </c>
      <c r="I340">
        <v>5184</v>
      </c>
    </row>
    <row r="341" spans="1:9" x14ac:dyDescent="0.35">
      <c r="A341" t="s">
        <v>9</v>
      </c>
      <c r="B341" t="s">
        <v>324</v>
      </c>
      <c r="C341" t="s">
        <v>351</v>
      </c>
      <c r="D341" t="str">
        <f>"060208"</f>
        <v>060208</v>
      </c>
      <c r="E341">
        <v>5195</v>
      </c>
      <c r="F341">
        <v>2795</v>
      </c>
      <c r="G341" s="1">
        <v>0.53800000000000003</v>
      </c>
      <c r="H341">
        <v>7</v>
      </c>
      <c r="I341">
        <v>5177</v>
      </c>
    </row>
    <row r="342" spans="1:9" x14ac:dyDescent="0.35">
      <c r="A342" t="s">
        <v>9</v>
      </c>
      <c r="B342" t="s">
        <v>324</v>
      </c>
      <c r="C342" t="s">
        <v>352</v>
      </c>
      <c r="D342" t="str">
        <f>"060209"</f>
        <v>060209</v>
      </c>
      <c r="E342">
        <v>3176</v>
      </c>
      <c r="F342">
        <v>1830</v>
      </c>
      <c r="G342" s="1">
        <v>0.57620000000000005</v>
      </c>
      <c r="H342">
        <v>3</v>
      </c>
      <c r="I342">
        <v>3158</v>
      </c>
    </row>
    <row r="343" spans="1:9" x14ac:dyDescent="0.35">
      <c r="A343" t="s">
        <v>9</v>
      </c>
      <c r="B343" t="s">
        <v>324</v>
      </c>
      <c r="C343" t="s">
        <v>353</v>
      </c>
      <c r="D343" t="str">
        <f>"060210"</f>
        <v>060210</v>
      </c>
      <c r="E343">
        <v>3215</v>
      </c>
      <c r="F343">
        <v>1740</v>
      </c>
      <c r="G343" s="1">
        <v>0.54120000000000001</v>
      </c>
      <c r="H343">
        <v>4</v>
      </c>
      <c r="I343">
        <v>3206</v>
      </c>
    </row>
    <row r="344" spans="1:9" x14ac:dyDescent="0.35">
      <c r="A344" t="s">
        <v>9</v>
      </c>
      <c r="B344" t="s">
        <v>324</v>
      </c>
      <c r="C344" t="s">
        <v>354</v>
      </c>
      <c r="D344" t="str">
        <f>"060211"</f>
        <v>060211</v>
      </c>
      <c r="E344">
        <v>4055</v>
      </c>
      <c r="F344">
        <v>2184</v>
      </c>
      <c r="G344" s="1">
        <v>0.53859999999999997</v>
      </c>
      <c r="H344">
        <v>4</v>
      </c>
      <c r="I344">
        <v>4035</v>
      </c>
    </row>
    <row r="345" spans="1:9" x14ac:dyDescent="0.35">
      <c r="A345" t="s">
        <v>9</v>
      </c>
      <c r="B345" t="s">
        <v>324</v>
      </c>
      <c r="C345" t="s">
        <v>355</v>
      </c>
      <c r="D345" t="str">
        <f>"060212"</f>
        <v>060212</v>
      </c>
      <c r="E345">
        <v>5004</v>
      </c>
      <c r="F345">
        <v>2745</v>
      </c>
      <c r="G345" s="1">
        <v>0.54859999999999998</v>
      </c>
      <c r="H345">
        <v>8</v>
      </c>
      <c r="I345">
        <v>4965</v>
      </c>
    </row>
    <row r="346" spans="1:9" x14ac:dyDescent="0.35">
      <c r="A346" t="s">
        <v>9</v>
      </c>
      <c r="B346" t="s">
        <v>324</v>
      </c>
      <c r="C346" t="s">
        <v>356</v>
      </c>
      <c r="D346" t="str">
        <f>"060213"</f>
        <v>060213</v>
      </c>
      <c r="E346">
        <v>3010</v>
      </c>
      <c r="F346">
        <v>1565</v>
      </c>
      <c r="G346" s="1">
        <v>0.51990000000000003</v>
      </c>
      <c r="H346">
        <v>5</v>
      </c>
      <c r="I346">
        <v>3007</v>
      </c>
    </row>
    <row r="347" spans="1:9" x14ac:dyDescent="0.35">
      <c r="A347" t="s">
        <v>9</v>
      </c>
      <c r="B347" t="s">
        <v>324</v>
      </c>
      <c r="C347" t="s">
        <v>357</v>
      </c>
      <c r="D347" t="str">
        <f>"060214"</f>
        <v>060214</v>
      </c>
      <c r="E347">
        <v>4654</v>
      </c>
      <c r="F347">
        <v>2770</v>
      </c>
      <c r="G347" s="1">
        <v>0.59519999999999995</v>
      </c>
      <c r="H347">
        <v>13</v>
      </c>
      <c r="I347">
        <v>4639</v>
      </c>
    </row>
    <row r="348" spans="1:9" x14ac:dyDescent="0.35">
      <c r="A348" t="s">
        <v>9</v>
      </c>
      <c r="B348" t="s">
        <v>324</v>
      </c>
      <c r="C348" t="s">
        <v>358</v>
      </c>
      <c r="D348" t="str">
        <f>"060301"</f>
        <v>060301</v>
      </c>
      <c r="E348">
        <v>3223</v>
      </c>
      <c r="F348">
        <v>1681</v>
      </c>
      <c r="G348" s="1">
        <v>0.52159999999999995</v>
      </c>
      <c r="H348">
        <v>3</v>
      </c>
      <c r="I348">
        <v>3193</v>
      </c>
    </row>
    <row r="349" spans="1:9" x14ac:dyDescent="0.35">
      <c r="A349" t="s">
        <v>9</v>
      </c>
      <c r="B349" t="s">
        <v>324</v>
      </c>
      <c r="C349" t="s">
        <v>359</v>
      </c>
      <c r="D349" t="str">
        <f>"060302"</f>
        <v>060302</v>
      </c>
      <c r="E349">
        <v>2230</v>
      </c>
      <c r="F349">
        <v>1042</v>
      </c>
      <c r="G349" s="1">
        <v>0.46729999999999999</v>
      </c>
      <c r="H349">
        <v>3</v>
      </c>
      <c r="I349">
        <v>2220</v>
      </c>
    </row>
    <row r="350" spans="1:9" x14ac:dyDescent="0.35">
      <c r="A350" t="s">
        <v>9</v>
      </c>
      <c r="B350" t="s">
        <v>324</v>
      </c>
      <c r="C350" t="s">
        <v>360</v>
      </c>
      <c r="D350" t="str">
        <f>"060303"</f>
        <v>060303</v>
      </c>
      <c r="E350">
        <v>11366</v>
      </c>
      <c r="F350">
        <v>6261</v>
      </c>
      <c r="G350" s="1">
        <v>0.55089999999999995</v>
      </c>
      <c r="H350">
        <v>25</v>
      </c>
      <c r="I350">
        <v>11311</v>
      </c>
    </row>
    <row r="351" spans="1:9" x14ac:dyDescent="0.35">
      <c r="A351" t="s">
        <v>9</v>
      </c>
      <c r="B351" t="s">
        <v>324</v>
      </c>
      <c r="C351" t="s">
        <v>361</v>
      </c>
      <c r="D351" t="str">
        <f>"060304"</f>
        <v>060304</v>
      </c>
      <c r="E351">
        <v>4758</v>
      </c>
      <c r="F351">
        <v>2554</v>
      </c>
      <c r="G351" s="1">
        <v>0.53680000000000005</v>
      </c>
      <c r="H351">
        <v>7</v>
      </c>
      <c r="I351">
        <v>4739</v>
      </c>
    </row>
    <row r="352" spans="1:9" x14ac:dyDescent="0.35">
      <c r="A352" t="s">
        <v>9</v>
      </c>
      <c r="B352" t="s">
        <v>324</v>
      </c>
      <c r="C352" t="s">
        <v>362</v>
      </c>
      <c r="D352" t="str">
        <f>"060305"</f>
        <v>060305</v>
      </c>
      <c r="E352">
        <v>1805</v>
      </c>
      <c r="F352">
        <v>970</v>
      </c>
      <c r="G352" s="1">
        <v>0.53739999999999999</v>
      </c>
      <c r="H352">
        <v>3</v>
      </c>
      <c r="I352">
        <v>1785</v>
      </c>
    </row>
    <row r="353" spans="1:9" x14ac:dyDescent="0.35">
      <c r="A353" t="s">
        <v>9</v>
      </c>
      <c r="B353" t="s">
        <v>324</v>
      </c>
      <c r="C353" t="s">
        <v>363</v>
      </c>
      <c r="D353" t="str">
        <f>"060306"</f>
        <v>060306</v>
      </c>
      <c r="E353">
        <v>3133</v>
      </c>
      <c r="F353">
        <v>1610</v>
      </c>
      <c r="G353" s="1">
        <v>0.51390000000000002</v>
      </c>
      <c r="H353">
        <v>6</v>
      </c>
      <c r="I353">
        <v>3122</v>
      </c>
    </row>
    <row r="354" spans="1:9" x14ac:dyDescent="0.35">
      <c r="A354" t="s">
        <v>9</v>
      </c>
      <c r="B354" t="s">
        <v>324</v>
      </c>
      <c r="C354" t="s">
        <v>364</v>
      </c>
      <c r="D354" t="str">
        <f>"060307"</f>
        <v>060307</v>
      </c>
      <c r="E354">
        <v>2777</v>
      </c>
      <c r="F354">
        <v>1309</v>
      </c>
      <c r="G354" s="1">
        <v>0.47139999999999999</v>
      </c>
      <c r="H354">
        <v>5</v>
      </c>
      <c r="I354">
        <v>2765</v>
      </c>
    </row>
    <row r="355" spans="1:9" x14ac:dyDescent="0.35">
      <c r="A355" t="s">
        <v>9</v>
      </c>
      <c r="B355" t="s">
        <v>324</v>
      </c>
      <c r="C355" t="s">
        <v>365</v>
      </c>
      <c r="D355" t="str">
        <f>"060308"</f>
        <v>060308</v>
      </c>
      <c r="E355">
        <v>3132</v>
      </c>
      <c r="F355">
        <v>1579</v>
      </c>
      <c r="G355" s="1">
        <v>0.50419999999999998</v>
      </c>
      <c r="H355">
        <v>5</v>
      </c>
      <c r="I355">
        <v>3113</v>
      </c>
    </row>
    <row r="356" spans="1:9" x14ac:dyDescent="0.35">
      <c r="A356" t="s">
        <v>9</v>
      </c>
      <c r="B356" t="s">
        <v>324</v>
      </c>
      <c r="C356" t="s">
        <v>366</v>
      </c>
      <c r="D356" t="str">
        <f>"060309"</f>
        <v>060309</v>
      </c>
      <c r="E356">
        <v>3377</v>
      </c>
      <c r="F356">
        <v>1733</v>
      </c>
      <c r="G356" s="1">
        <v>0.51319999999999999</v>
      </c>
      <c r="H356">
        <v>5</v>
      </c>
      <c r="I356">
        <v>3345</v>
      </c>
    </row>
    <row r="357" spans="1:9" x14ac:dyDescent="0.35">
      <c r="A357" t="s">
        <v>9</v>
      </c>
      <c r="B357" t="s">
        <v>324</v>
      </c>
      <c r="C357" t="s">
        <v>367</v>
      </c>
      <c r="D357" t="str">
        <f>"060310"</f>
        <v>060310</v>
      </c>
      <c r="E357">
        <v>4079</v>
      </c>
      <c r="F357">
        <v>2104</v>
      </c>
      <c r="G357" s="1">
        <v>0.51580000000000004</v>
      </c>
      <c r="H357">
        <v>6</v>
      </c>
      <c r="I357">
        <v>4068</v>
      </c>
    </row>
    <row r="358" spans="1:9" x14ac:dyDescent="0.35">
      <c r="A358" t="s">
        <v>9</v>
      </c>
      <c r="B358" t="s">
        <v>324</v>
      </c>
      <c r="C358" t="s">
        <v>368</v>
      </c>
      <c r="D358" t="str">
        <f>"060311"</f>
        <v>060311</v>
      </c>
      <c r="E358">
        <v>5118</v>
      </c>
      <c r="F358">
        <v>2697</v>
      </c>
      <c r="G358" s="1">
        <v>0.52700000000000002</v>
      </c>
      <c r="H358">
        <v>9</v>
      </c>
      <c r="I358">
        <v>5024</v>
      </c>
    </row>
    <row r="359" spans="1:9" x14ac:dyDescent="0.35">
      <c r="A359" t="s">
        <v>9</v>
      </c>
      <c r="B359" t="s">
        <v>324</v>
      </c>
      <c r="C359" t="s">
        <v>369</v>
      </c>
      <c r="D359" t="str">
        <f>"060312"</f>
        <v>060312</v>
      </c>
      <c r="E359">
        <v>3804</v>
      </c>
      <c r="F359">
        <v>1984</v>
      </c>
      <c r="G359" s="1">
        <v>0.52159999999999995</v>
      </c>
      <c r="H359">
        <v>10</v>
      </c>
      <c r="I359">
        <v>3783</v>
      </c>
    </row>
    <row r="360" spans="1:9" x14ac:dyDescent="0.35">
      <c r="A360" t="s">
        <v>9</v>
      </c>
      <c r="B360" t="s">
        <v>324</v>
      </c>
      <c r="C360" t="s">
        <v>370</v>
      </c>
      <c r="D360" t="str">
        <f>"060313"</f>
        <v>060313</v>
      </c>
      <c r="E360">
        <v>2860</v>
      </c>
      <c r="F360">
        <v>1485</v>
      </c>
      <c r="G360" s="1">
        <v>0.51919999999999999</v>
      </c>
      <c r="H360">
        <v>6</v>
      </c>
      <c r="I360">
        <v>2844</v>
      </c>
    </row>
    <row r="361" spans="1:9" x14ac:dyDescent="0.35">
      <c r="A361" t="s">
        <v>9</v>
      </c>
      <c r="B361" t="s">
        <v>324</v>
      </c>
      <c r="C361" t="s">
        <v>371</v>
      </c>
      <c r="D361" t="str">
        <f>"060314"</f>
        <v>060314</v>
      </c>
      <c r="E361">
        <v>2301</v>
      </c>
      <c r="F361">
        <v>1272</v>
      </c>
      <c r="G361" s="1">
        <v>0.55279999999999996</v>
      </c>
      <c r="H361">
        <v>6</v>
      </c>
      <c r="I361">
        <v>2279</v>
      </c>
    </row>
    <row r="362" spans="1:9" x14ac:dyDescent="0.35">
      <c r="A362" t="s">
        <v>9</v>
      </c>
      <c r="B362" t="s">
        <v>324</v>
      </c>
      <c r="C362" t="s">
        <v>372</v>
      </c>
      <c r="D362" t="str">
        <f>"060315"</f>
        <v>060315</v>
      </c>
      <c r="E362">
        <v>4738</v>
      </c>
      <c r="F362">
        <v>2280</v>
      </c>
      <c r="G362" s="1">
        <v>0.48120000000000002</v>
      </c>
      <c r="H362">
        <v>8</v>
      </c>
      <c r="I362">
        <v>4727</v>
      </c>
    </row>
    <row r="363" spans="1:9" x14ac:dyDescent="0.35">
      <c r="A363" t="s">
        <v>9</v>
      </c>
      <c r="B363" t="s">
        <v>324</v>
      </c>
      <c r="C363" t="s">
        <v>373</v>
      </c>
      <c r="D363" t="str">
        <f>"060401"</f>
        <v>060401</v>
      </c>
      <c r="E363">
        <v>12316</v>
      </c>
      <c r="F363">
        <v>6700</v>
      </c>
      <c r="G363" s="1">
        <v>0.54400000000000004</v>
      </c>
      <c r="H363">
        <v>13</v>
      </c>
      <c r="I363">
        <v>12188</v>
      </c>
    </row>
    <row r="364" spans="1:9" x14ac:dyDescent="0.35">
      <c r="A364" t="s">
        <v>9</v>
      </c>
      <c r="B364" t="s">
        <v>324</v>
      </c>
      <c r="C364" t="s">
        <v>374</v>
      </c>
      <c r="D364" t="str">
        <f>"060402"</f>
        <v>060402</v>
      </c>
      <c r="E364">
        <v>3909</v>
      </c>
      <c r="F364">
        <v>1840</v>
      </c>
      <c r="G364" s="1">
        <v>0.47070000000000001</v>
      </c>
      <c r="H364">
        <v>8</v>
      </c>
      <c r="I364">
        <v>3879</v>
      </c>
    </row>
    <row r="365" spans="1:9" x14ac:dyDescent="0.35">
      <c r="A365" t="s">
        <v>9</v>
      </c>
      <c r="B365" t="s">
        <v>324</v>
      </c>
      <c r="C365" t="s">
        <v>375</v>
      </c>
      <c r="D365" t="str">
        <f>"060403"</f>
        <v>060403</v>
      </c>
      <c r="E365">
        <v>3879</v>
      </c>
      <c r="F365">
        <v>1881</v>
      </c>
      <c r="G365" s="1">
        <v>0.4849</v>
      </c>
      <c r="H365">
        <v>6</v>
      </c>
      <c r="I365">
        <v>3817</v>
      </c>
    </row>
    <row r="366" spans="1:9" x14ac:dyDescent="0.35">
      <c r="A366" t="s">
        <v>9</v>
      </c>
      <c r="B366" t="s">
        <v>324</v>
      </c>
      <c r="C366" t="s">
        <v>376</v>
      </c>
      <c r="D366" t="str">
        <f>"060404"</f>
        <v>060404</v>
      </c>
      <c r="E366">
        <v>7514</v>
      </c>
      <c r="F366">
        <v>4004</v>
      </c>
      <c r="G366" s="1">
        <v>0.53290000000000004</v>
      </c>
      <c r="H366">
        <v>19</v>
      </c>
      <c r="I366">
        <v>7460</v>
      </c>
    </row>
    <row r="367" spans="1:9" x14ac:dyDescent="0.35">
      <c r="A367" t="s">
        <v>9</v>
      </c>
      <c r="B367" t="s">
        <v>324</v>
      </c>
      <c r="C367" t="s">
        <v>377</v>
      </c>
      <c r="D367" t="str">
        <f>"060405"</f>
        <v>060405</v>
      </c>
      <c r="E367">
        <v>5288</v>
      </c>
      <c r="F367">
        <v>2618</v>
      </c>
      <c r="G367" s="1">
        <v>0.49509999999999998</v>
      </c>
      <c r="H367">
        <v>10</v>
      </c>
      <c r="I367">
        <v>5269</v>
      </c>
    </row>
    <row r="368" spans="1:9" x14ac:dyDescent="0.35">
      <c r="A368" t="s">
        <v>9</v>
      </c>
      <c r="B368" t="s">
        <v>324</v>
      </c>
      <c r="C368" t="s">
        <v>378</v>
      </c>
      <c r="D368" t="str">
        <f>"060406"</f>
        <v>060406</v>
      </c>
      <c r="E368">
        <v>3077</v>
      </c>
      <c r="F368">
        <v>1565</v>
      </c>
      <c r="G368" s="1">
        <v>0.50860000000000005</v>
      </c>
      <c r="H368">
        <v>4</v>
      </c>
      <c r="I368">
        <v>3064</v>
      </c>
    </row>
    <row r="369" spans="1:9" x14ac:dyDescent="0.35">
      <c r="A369" t="s">
        <v>9</v>
      </c>
      <c r="B369" t="s">
        <v>324</v>
      </c>
      <c r="C369" t="s">
        <v>379</v>
      </c>
      <c r="D369" t="str">
        <f>"060407"</f>
        <v>060407</v>
      </c>
      <c r="E369">
        <v>3437</v>
      </c>
      <c r="F369">
        <v>1822</v>
      </c>
      <c r="G369" s="1">
        <v>0.53010000000000002</v>
      </c>
      <c r="H369">
        <v>7</v>
      </c>
      <c r="I369">
        <v>3405</v>
      </c>
    </row>
    <row r="370" spans="1:9" x14ac:dyDescent="0.35">
      <c r="A370" t="s">
        <v>9</v>
      </c>
      <c r="B370" t="s">
        <v>324</v>
      </c>
      <c r="C370" t="s">
        <v>380</v>
      </c>
      <c r="D370" t="str">
        <f>"060408"</f>
        <v>060408</v>
      </c>
      <c r="E370">
        <v>6901</v>
      </c>
      <c r="F370">
        <v>3358</v>
      </c>
      <c r="G370" s="1">
        <v>0.48659999999999998</v>
      </c>
      <c r="H370">
        <v>14</v>
      </c>
      <c r="I370">
        <v>6901</v>
      </c>
    </row>
    <row r="371" spans="1:9" x14ac:dyDescent="0.35">
      <c r="A371" t="s">
        <v>9</v>
      </c>
      <c r="B371" t="s">
        <v>324</v>
      </c>
      <c r="C371" t="s">
        <v>381</v>
      </c>
      <c r="D371" t="str">
        <f>"060501"</f>
        <v>060501</v>
      </c>
      <c r="E371">
        <v>2509</v>
      </c>
      <c r="F371">
        <v>1513</v>
      </c>
      <c r="G371" s="1">
        <v>0.60299999999999998</v>
      </c>
      <c r="H371">
        <v>4</v>
      </c>
      <c r="I371">
        <v>2502</v>
      </c>
    </row>
    <row r="372" spans="1:9" x14ac:dyDescent="0.35">
      <c r="A372" t="s">
        <v>9</v>
      </c>
      <c r="B372" t="s">
        <v>324</v>
      </c>
      <c r="C372" t="s">
        <v>382</v>
      </c>
      <c r="D372" t="str">
        <f>"060502"</f>
        <v>060502</v>
      </c>
      <c r="E372">
        <v>2157</v>
      </c>
      <c r="F372">
        <v>1549</v>
      </c>
      <c r="G372" s="1">
        <v>0.71809999999999996</v>
      </c>
      <c r="H372">
        <v>5</v>
      </c>
      <c r="I372">
        <v>2151</v>
      </c>
    </row>
    <row r="373" spans="1:9" x14ac:dyDescent="0.35">
      <c r="A373" t="s">
        <v>9</v>
      </c>
      <c r="B373" t="s">
        <v>324</v>
      </c>
      <c r="C373" t="s">
        <v>383</v>
      </c>
      <c r="D373" t="str">
        <f>"060503"</f>
        <v>060503</v>
      </c>
      <c r="E373">
        <v>4761</v>
      </c>
      <c r="F373">
        <v>2618</v>
      </c>
      <c r="G373" s="1">
        <v>0.54990000000000006</v>
      </c>
      <c r="H373">
        <v>8</v>
      </c>
      <c r="I373">
        <v>4750</v>
      </c>
    </row>
    <row r="374" spans="1:9" x14ac:dyDescent="0.35">
      <c r="A374" t="s">
        <v>9</v>
      </c>
      <c r="B374" t="s">
        <v>324</v>
      </c>
      <c r="C374" t="s">
        <v>384</v>
      </c>
      <c r="D374" t="str">
        <f>"060504"</f>
        <v>060504</v>
      </c>
      <c r="E374">
        <v>4435</v>
      </c>
      <c r="F374">
        <v>2956</v>
      </c>
      <c r="G374" s="1">
        <v>0.66649999999999998</v>
      </c>
      <c r="H374">
        <v>5</v>
      </c>
      <c r="I374">
        <v>4430</v>
      </c>
    </row>
    <row r="375" spans="1:9" x14ac:dyDescent="0.35">
      <c r="A375" t="s">
        <v>9</v>
      </c>
      <c r="B375" t="s">
        <v>324</v>
      </c>
      <c r="C375" t="s">
        <v>385</v>
      </c>
      <c r="D375" t="str">
        <f>"060505"</f>
        <v>060505</v>
      </c>
      <c r="E375">
        <v>11655</v>
      </c>
      <c r="F375">
        <v>6617</v>
      </c>
      <c r="G375" s="1">
        <v>0.56769999999999998</v>
      </c>
      <c r="H375">
        <v>9</v>
      </c>
      <c r="I375">
        <v>11594</v>
      </c>
    </row>
    <row r="376" spans="1:9" x14ac:dyDescent="0.35">
      <c r="A376" t="s">
        <v>9</v>
      </c>
      <c r="B376" t="s">
        <v>324</v>
      </c>
      <c r="C376" t="s">
        <v>386</v>
      </c>
      <c r="D376" t="str">
        <f>"060506"</f>
        <v>060506</v>
      </c>
      <c r="E376">
        <v>5360</v>
      </c>
      <c r="F376">
        <v>2897</v>
      </c>
      <c r="G376" s="1">
        <v>0.54049999999999998</v>
      </c>
      <c r="H376">
        <v>6</v>
      </c>
      <c r="I376">
        <v>5331</v>
      </c>
    </row>
    <row r="377" spans="1:9" x14ac:dyDescent="0.35">
      <c r="A377" t="s">
        <v>9</v>
      </c>
      <c r="B377" t="s">
        <v>324</v>
      </c>
      <c r="C377" t="s">
        <v>387</v>
      </c>
      <c r="D377" t="str">
        <f>"060507"</f>
        <v>060507</v>
      </c>
      <c r="E377">
        <v>3541</v>
      </c>
      <c r="F377">
        <v>1965</v>
      </c>
      <c r="G377" s="1">
        <v>0.55489999999999995</v>
      </c>
      <c r="H377">
        <v>7</v>
      </c>
      <c r="I377">
        <v>3521</v>
      </c>
    </row>
    <row r="378" spans="1:9" x14ac:dyDescent="0.35">
      <c r="A378" t="s">
        <v>9</v>
      </c>
      <c r="B378" t="s">
        <v>324</v>
      </c>
      <c r="C378" t="s">
        <v>388</v>
      </c>
      <c r="D378" t="str">
        <f>"060601"</f>
        <v>060601</v>
      </c>
      <c r="E378">
        <v>13592</v>
      </c>
      <c r="F378">
        <v>7324</v>
      </c>
      <c r="G378" s="1">
        <v>0.53879999999999995</v>
      </c>
      <c r="H378">
        <v>15</v>
      </c>
      <c r="I378">
        <v>13502</v>
      </c>
    </row>
    <row r="379" spans="1:9" x14ac:dyDescent="0.35">
      <c r="A379" t="s">
        <v>9</v>
      </c>
      <c r="B379" t="s">
        <v>324</v>
      </c>
      <c r="C379" t="s">
        <v>389</v>
      </c>
      <c r="D379" t="str">
        <f>"060602"</f>
        <v>060602</v>
      </c>
      <c r="E379">
        <v>3602</v>
      </c>
      <c r="F379">
        <v>2123</v>
      </c>
      <c r="G379" s="1">
        <v>0.58940000000000003</v>
      </c>
      <c r="H379">
        <v>6</v>
      </c>
      <c r="I379">
        <v>3569</v>
      </c>
    </row>
    <row r="380" spans="1:9" x14ac:dyDescent="0.35">
      <c r="A380" t="s">
        <v>9</v>
      </c>
      <c r="B380" t="s">
        <v>324</v>
      </c>
      <c r="C380" t="s">
        <v>390</v>
      </c>
      <c r="D380" t="str">
        <f>"060603"</f>
        <v>060603</v>
      </c>
      <c r="E380">
        <v>2658</v>
      </c>
      <c r="F380">
        <v>1467</v>
      </c>
      <c r="G380" s="1">
        <v>0.55189999999999995</v>
      </c>
      <c r="H380">
        <v>8</v>
      </c>
      <c r="I380">
        <v>2653</v>
      </c>
    </row>
    <row r="381" spans="1:9" x14ac:dyDescent="0.35">
      <c r="A381" t="s">
        <v>9</v>
      </c>
      <c r="B381" t="s">
        <v>324</v>
      </c>
      <c r="C381" t="s">
        <v>391</v>
      </c>
      <c r="D381" t="str">
        <f>"060604"</f>
        <v>060604</v>
      </c>
      <c r="E381">
        <v>6275</v>
      </c>
      <c r="F381">
        <v>3523</v>
      </c>
      <c r="G381" s="1">
        <v>0.56140000000000001</v>
      </c>
      <c r="H381">
        <v>9</v>
      </c>
      <c r="I381">
        <v>6226</v>
      </c>
    </row>
    <row r="382" spans="1:9" x14ac:dyDescent="0.35">
      <c r="A382" t="s">
        <v>9</v>
      </c>
      <c r="B382" t="s">
        <v>324</v>
      </c>
      <c r="C382" t="s">
        <v>392</v>
      </c>
      <c r="D382" t="str">
        <f>"060605"</f>
        <v>060605</v>
      </c>
      <c r="E382">
        <v>6455</v>
      </c>
      <c r="F382">
        <v>3390</v>
      </c>
      <c r="G382" s="1">
        <v>0.5252</v>
      </c>
      <c r="H382">
        <v>19</v>
      </c>
      <c r="I382">
        <v>6389</v>
      </c>
    </row>
    <row r="383" spans="1:9" x14ac:dyDescent="0.35">
      <c r="A383" t="s">
        <v>9</v>
      </c>
      <c r="B383" t="s">
        <v>324</v>
      </c>
      <c r="C383" t="s">
        <v>393</v>
      </c>
      <c r="D383" t="str">
        <f>"060606"</f>
        <v>060606</v>
      </c>
      <c r="E383">
        <v>2742</v>
      </c>
      <c r="F383">
        <v>1426</v>
      </c>
      <c r="G383" s="1">
        <v>0.52010000000000001</v>
      </c>
      <c r="H383">
        <v>9</v>
      </c>
      <c r="I383">
        <v>2703</v>
      </c>
    </row>
    <row r="384" spans="1:9" x14ac:dyDescent="0.35">
      <c r="A384" t="s">
        <v>9</v>
      </c>
      <c r="B384" t="s">
        <v>324</v>
      </c>
      <c r="C384" t="s">
        <v>394</v>
      </c>
      <c r="D384" t="str">
        <f>"060607"</f>
        <v>060607</v>
      </c>
      <c r="E384">
        <v>3011</v>
      </c>
      <c r="F384">
        <v>1665</v>
      </c>
      <c r="G384" s="1">
        <v>0.55300000000000005</v>
      </c>
      <c r="H384">
        <v>8</v>
      </c>
      <c r="I384">
        <v>2997</v>
      </c>
    </row>
    <row r="385" spans="1:9" x14ac:dyDescent="0.35">
      <c r="A385" t="s">
        <v>9</v>
      </c>
      <c r="B385" t="s">
        <v>324</v>
      </c>
      <c r="C385" t="s">
        <v>395</v>
      </c>
      <c r="D385" t="str">
        <f>"060609"</f>
        <v>060609</v>
      </c>
      <c r="E385">
        <v>2381</v>
      </c>
      <c r="F385">
        <v>1231</v>
      </c>
      <c r="G385" s="1">
        <v>0.51700000000000002</v>
      </c>
      <c r="H385">
        <v>5</v>
      </c>
      <c r="I385">
        <v>2347</v>
      </c>
    </row>
    <row r="386" spans="1:9" x14ac:dyDescent="0.35">
      <c r="A386" t="s">
        <v>9</v>
      </c>
      <c r="B386" t="s">
        <v>324</v>
      </c>
      <c r="C386" t="s">
        <v>396</v>
      </c>
      <c r="D386" t="str">
        <f>"060610"</f>
        <v>060610</v>
      </c>
      <c r="E386">
        <v>3204</v>
      </c>
      <c r="F386">
        <v>1735</v>
      </c>
      <c r="G386" s="1">
        <v>0.54149999999999998</v>
      </c>
      <c r="H386">
        <v>8</v>
      </c>
      <c r="I386">
        <v>3192</v>
      </c>
    </row>
    <row r="387" spans="1:9" x14ac:dyDescent="0.35">
      <c r="A387" t="s">
        <v>9</v>
      </c>
      <c r="B387" t="s">
        <v>324</v>
      </c>
      <c r="C387" t="s">
        <v>397</v>
      </c>
      <c r="D387" t="str">
        <f>"060611"</f>
        <v>060611</v>
      </c>
      <c r="E387">
        <v>4080</v>
      </c>
      <c r="F387">
        <v>2107</v>
      </c>
      <c r="G387" s="1">
        <v>0.51639999999999997</v>
      </c>
      <c r="H387">
        <v>9</v>
      </c>
      <c r="I387">
        <v>4037</v>
      </c>
    </row>
    <row r="388" spans="1:9" x14ac:dyDescent="0.35">
      <c r="A388" t="s">
        <v>9</v>
      </c>
      <c r="B388" t="s">
        <v>324</v>
      </c>
      <c r="C388" t="s">
        <v>398</v>
      </c>
      <c r="D388" t="str">
        <f>"060701"</f>
        <v>060701</v>
      </c>
      <c r="E388">
        <v>24539</v>
      </c>
      <c r="F388">
        <v>13905</v>
      </c>
      <c r="G388" s="1">
        <v>0.56659999999999999</v>
      </c>
      <c r="H388">
        <v>21</v>
      </c>
      <c r="I388">
        <v>24425</v>
      </c>
    </row>
    <row r="389" spans="1:9" x14ac:dyDescent="0.35">
      <c r="A389" t="s">
        <v>9</v>
      </c>
      <c r="B389" t="s">
        <v>324</v>
      </c>
      <c r="C389" t="s">
        <v>399</v>
      </c>
      <c r="D389" t="str">
        <f>"060702"</f>
        <v>060702</v>
      </c>
      <c r="E389">
        <v>6481</v>
      </c>
      <c r="F389">
        <v>3452</v>
      </c>
      <c r="G389" s="1">
        <v>0.53259999999999996</v>
      </c>
      <c r="H389">
        <v>10</v>
      </c>
      <c r="I389">
        <v>6442</v>
      </c>
    </row>
    <row r="390" spans="1:9" x14ac:dyDescent="0.35">
      <c r="A390" t="s">
        <v>9</v>
      </c>
      <c r="B390" t="s">
        <v>324</v>
      </c>
      <c r="C390" t="s">
        <v>400</v>
      </c>
      <c r="D390" t="str">
        <f>"060703"</f>
        <v>060703</v>
      </c>
      <c r="E390">
        <v>4066</v>
      </c>
      <c r="F390">
        <v>2345</v>
      </c>
      <c r="G390" s="1">
        <v>0.57669999999999999</v>
      </c>
      <c r="H390">
        <v>6</v>
      </c>
      <c r="I390">
        <v>4059</v>
      </c>
    </row>
    <row r="391" spans="1:9" x14ac:dyDescent="0.35">
      <c r="A391" t="s">
        <v>9</v>
      </c>
      <c r="B391" t="s">
        <v>324</v>
      </c>
      <c r="C391" t="s">
        <v>401</v>
      </c>
      <c r="D391" t="str">
        <f>"060704"</f>
        <v>060704</v>
      </c>
      <c r="E391">
        <v>5439</v>
      </c>
      <c r="F391">
        <v>2955</v>
      </c>
      <c r="G391" s="1">
        <v>0.54330000000000001</v>
      </c>
      <c r="H391">
        <v>13</v>
      </c>
      <c r="I391">
        <v>5420</v>
      </c>
    </row>
    <row r="392" spans="1:9" x14ac:dyDescent="0.35">
      <c r="A392" t="s">
        <v>9</v>
      </c>
      <c r="B392" t="s">
        <v>324</v>
      </c>
      <c r="C392" t="s">
        <v>402</v>
      </c>
      <c r="D392" t="str">
        <f>"060705"</f>
        <v>060705</v>
      </c>
      <c r="E392">
        <v>5476</v>
      </c>
      <c r="F392">
        <v>3058</v>
      </c>
      <c r="G392" s="1">
        <v>0.55840000000000001</v>
      </c>
      <c r="H392">
        <v>5</v>
      </c>
      <c r="I392">
        <v>5459</v>
      </c>
    </row>
    <row r="393" spans="1:9" x14ac:dyDescent="0.35">
      <c r="A393" t="s">
        <v>9</v>
      </c>
      <c r="B393" t="s">
        <v>324</v>
      </c>
      <c r="C393" t="s">
        <v>403</v>
      </c>
      <c r="D393" t="str">
        <f>"060706"</f>
        <v>060706</v>
      </c>
      <c r="E393">
        <v>4379</v>
      </c>
      <c r="F393">
        <v>2540</v>
      </c>
      <c r="G393" s="1">
        <v>0.57999999999999996</v>
      </c>
      <c r="H393">
        <v>8</v>
      </c>
      <c r="I393">
        <v>4374</v>
      </c>
    </row>
    <row r="394" spans="1:9" x14ac:dyDescent="0.35">
      <c r="A394" t="s">
        <v>9</v>
      </c>
      <c r="B394" t="s">
        <v>324</v>
      </c>
      <c r="C394" t="s">
        <v>404</v>
      </c>
      <c r="D394" t="str">
        <f>"060707"</f>
        <v>060707</v>
      </c>
      <c r="E394">
        <v>4822</v>
      </c>
      <c r="F394">
        <v>2595</v>
      </c>
      <c r="G394" s="1">
        <v>0.53820000000000001</v>
      </c>
      <c r="H394">
        <v>11</v>
      </c>
      <c r="I394">
        <v>4807</v>
      </c>
    </row>
    <row r="395" spans="1:9" x14ac:dyDescent="0.35">
      <c r="A395" t="s">
        <v>9</v>
      </c>
      <c r="B395" t="s">
        <v>324</v>
      </c>
      <c r="C395" t="s">
        <v>405</v>
      </c>
      <c r="D395" t="str">
        <f>"060708"</f>
        <v>060708</v>
      </c>
      <c r="E395">
        <v>6401</v>
      </c>
      <c r="F395">
        <v>3499</v>
      </c>
      <c r="G395" s="1">
        <v>0.54659999999999997</v>
      </c>
      <c r="H395">
        <v>8</v>
      </c>
      <c r="I395">
        <v>6392</v>
      </c>
    </row>
    <row r="396" spans="1:9" x14ac:dyDescent="0.35">
      <c r="A396" t="s">
        <v>9</v>
      </c>
      <c r="B396" t="s">
        <v>324</v>
      </c>
      <c r="C396" t="s">
        <v>406</v>
      </c>
      <c r="D396" t="str">
        <f>"060709"</f>
        <v>060709</v>
      </c>
      <c r="E396">
        <v>4114</v>
      </c>
      <c r="F396">
        <v>2531</v>
      </c>
      <c r="G396" s="1">
        <v>0.61519999999999997</v>
      </c>
      <c r="H396">
        <v>4</v>
      </c>
      <c r="I396">
        <v>4102</v>
      </c>
    </row>
    <row r="397" spans="1:9" x14ac:dyDescent="0.35">
      <c r="A397" t="s">
        <v>9</v>
      </c>
      <c r="B397" t="s">
        <v>324</v>
      </c>
      <c r="C397" t="s">
        <v>407</v>
      </c>
      <c r="D397" t="str">
        <f>"060710"</f>
        <v>060710</v>
      </c>
      <c r="E397">
        <v>4917</v>
      </c>
      <c r="F397">
        <v>2732</v>
      </c>
      <c r="G397" s="1">
        <v>0.55559999999999998</v>
      </c>
      <c r="H397">
        <v>7</v>
      </c>
      <c r="I397">
        <v>4912</v>
      </c>
    </row>
    <row r="398" spans="1:9" x14ac:dyDescent="0.35">
      <c r="A398" t="s">
        <v>9</v>
      </c>
      <c r="B398" t="s">
        <v>324</v>
      </c>
      <c r="C398" t="s">
        <v>408</v>
      </c>
      <c r="D398" t="str">
        <f>"060801"</f>
        <v>060801</v>
      </c>
      <c r="E398">
        <v>15797</v>
      </c>
      <c r="F398">
        <v>9064</v>
      </c>
      <c r="G398" s="1">
        <v>0.57379999999999998</v>
      </c>
      <c r="H398">
        <v>11</v>
      </c>
      <c r="I398">
        <v>15673</v>
      </c>
    </row>
    <row r="399" spans="1:9" x14ac:dyDescent="0.35">
      <c r="A399" t="s">
        <v>9</v>
      </c>
      <c r="B399" t="s">
        <v>324</v>
      </c>
      <c r="C399" t="s">
        <v>409</v>
      </c>
      <c r="D399" t="str">
        <f>"060802"</f>
        <v>060802</v>
      </c>
      <c r="E399">
        <v>3128</v>
      </c>
      <c r="F399">
        <v>1736</v>
      </c>
      <c r="G399" s="1">
        <v>0.55500000000000005</v>
      </c>
      <c r="H399">
        <v>7</v>
      </c>
      <c r="I399">
        <v>3127</v>
      </c>
    </row>
    <row r="400" spans="1:9" x14ac:dyDescent="0.35">
      <c r="A400" t="s">
        <v>9</v>
      </c>
      <c r="B400" t="s">
        <v>324</v>
      </c>
      <c r="C400" t="s">
        <v>410</v>
      </c>
      <c r="D400" t="str">
        <f>"060803"</f>
        <v>060803</v>
      </c>
      <c r="E400">
        <v>4512</v>
      </c>
      <c r="F400">
        <v>2393</v>
      </c>
      <c r="G400" s="1">
        <v>0.53039999999999998</v>
      </c>
      <c r="H400">
        <v>8</v>
      </c>
      <c r="I400">
        <v>4472</v>
      </c>
    </row>
    <row r="401" spans="1:9" x14ac:dyDescent="0.35">
      <c r="A401" t="s">
        <v>9</v>
      </c>
      <c r="B401" t="s">
        <v>324</v>
      </c>
      <c r="C401" t="s">
        <v>411</v>
      </c>
      <c r="D401" t="str">
        <f>"060804"</f>
        <v>060804</v>
      </c>
      <c r="E401">
        <v>2067</v>
      </c>
      <c r="F401">
        <v>1162</v>
      </c>
      <c r="G401" s="1">
        <v>0.56220000000000003</v>
      </c>
      <c r="H401">
        <v>3</v>
      </c>
      <c r="I401">
        <v>2054</v>
      </c>
    </row>
    <row r="402" spans="1:9" x14ac:dyDescent="0.35">
      <c r="A402" t="s">
        <v>9</v>
      </c>
      <c r="B402" t="s">
        <v>324</v>
      </c>
      <c r="C402" t="s">
        <v>412</v>
      </c>
      <c r="D402" t="str">
        <f>"060805"</f>
        <v>060805</v>
      </c>
      <c r="E402">
        <v>5087</v>
      </c>
      <c r="F402">
        <v>2779</v>
      </c>
      <c r="G402" s="1">
        <v>0.54630000000000001</v>
      </c>
      <c r="H402">
        <v>10</v>
      </c>
      <c r="I402">
        <v>5035</v>
      </c>
    </row>
    <row r="403" spans="1:9" x14ac:dyDescent="0.35">
      <c r="A403" t="s">
        <v>9</v>
      </c>
      <c r="B403" t="s">
        <v>324</v>
      </c>
      <c r="C403" t="s">
        <v>413</v>
      </c>
      <c r="D403" t="str">
        <f>"060806"</f>
        <v>060806</v>
      </c>
      <c r="E403">
        <v>4707</v>
      </c>
      <c r="F403">
        <v>2573</v>
      </c>
      <c r="G403" s="1">
        <v>0.54659999999999997</v>
      </c>
      <c r="H403">
        <v>7</v>
      </c>
      <c r="I403">
        <v>4686</v>
      </c>
    </row>
    <row r="404" spans="1:9" x14ac:dyDescent="0.35">
      <c r="A404" t="s">
        <v>9</v>
      </c>
      <c r="B404" t="s">
        <v>324</v>
      </c>
      <c r="C404" t="s">
        <v>414</v>
      </c>
      <c r="D404" t="str">
        <f>"060807"</f>
        <v>060807</v>
      </c>
      <c r="E404">
        <v>8850</v>
      </c>
      <c r="F404">
        <v>5256</v>
      </c>
      <c r="G404" s="1">
        <v>0.59389999999999998</v>
      </c>
      <c r="H404">
        <v>16</v>
      </c>
      <c r="I404">
        <v>8832</v>
      </c>
    </row>
    <row r="405" spans="1:9" x14ac:dyDescent="0.35">
      <c r="A405" t="s">
        <v>9</v>
      </c>
      <c r="B405" t="s">
        <v>324</v>
      </c>
      <c r="C405" t="s">
        <v>415</v>
      </c>
      <c r="D405" t="str">
        <f>"060808"</f>
        <v>060808</v>
      </c>
      <c r="E405">
        <v>4545</v>
      </c>
      <c r="F405">
        <v>2304</v>
      </c>
      <c r="G405" s="1">
        <v>0.50690000000000002</v>
      </c>
      <c r="H405">
        <v>6</v>
      </c>
      <c r="I405">
        <v>4532</v>
      </c>
    </row>
    <row r="406" spans="1:9" x14ac:dyDescent="0.35">
      <c r="A406" t="s">
        <v>9</v>
      </c>
      <c r="B406" t="s">
        <v>324</v>
      </c>
      <c r="C406" t="s">
        <v>416</v>
      </c>
      <c r="D406" t="str">
        <f>"060809"</f>
        <v>060809</v>
      </c>
      <c r="E406">
        <v>4889</v>
      </c>
      <c r="F406">
        <v>2657</v>
      </c>
      <c r="G406" s="1">
        <v>0.54349999999999998</v>
      </c>
      <c r="H406">
        <v>6</v>
      </c>
      <c r="I406">
        <v>4886</v>
      </c>
    </row>
    <row r="407" spans="1:9" x14ac:dyDescent="0.35">
      <c r="A407" t="s">
        <v>9</v>
      </c>
      <c r="B407" t="s">
        <v>324</v>
      </c>
      <c r="C407" t="s">
        <v>417</v>
      </c>
      <c r="D407" t="str">
        <f>"060810"</f>
        <v>060810</v>
      </c>
      <c r="E407">
        <v>3952</v>
      </c>
      <c r="F407">
        <v>2211</v>
      </c>
      <c r="G407" s="1">
        <v>0.5595</v>
      </c>
      <c r="H407">
        <v>6</v>
      </c>
      <c r="I407">
        <v>3912</v>
      </c>
    </row>
    <row r="408" spans="1:9" x14ac:dyDescent="0.35">
      <c r="A408" t="s">
        <v>9</v>
      </c>
      <c r="B408" t="s">
        <v>324</v>
      </c>
      <c r="C408" t="s">
        <v>418</v>
      </c>
      <c r="D408" t="str">
        <f>"060811"</f>
        <v>060811</v>
      </c>
      <c r="E408">
        <v>2930</v>
      </c>
      <c r="F408">
        <v>1597</v>
      </c>
      <c r="G408" s="1">
        <v>0.54510000000000003</v>
      </c>
      <c r="H408">
        <v>6</v>
      </c>
      <c r="I408">
        <v>2916</v>
      </c>
    </row>
    <row r="409" spans="1:9" x14ac:dyDescent="0.35">
      <c r="A409" t="s">
        <v>9</v>
      </c>
      <c r="B409" t="s">
        <v>324</v>
      </c>
      <c r="C409" t="s">
        <v>419</v>
      </c>
      <c r="D409" t="str">
        <f>"060812"</f>
        <v>060812</v>
      </c>
      <c r="E409">
        <v>3793</v>
      </c>
      <c r="F409">
        <v>2164</v>
      </c>
      <c r="G409" s="1">
        <v>0.57050000000000001</v>
      </c>
      <c r="H409">
        <v>5</v>
      </c>
      <c r="I409">
        <v>3784</v>
      </c>
    </row>
    <row r="410" spans="1:9" x14ac:dyDescent="0.35">
      <c r="A410" t="s">
        <v>9</v>
      </c>
      <c r="B410" t="s">
        <v>324</v>
      </c>
      <c r="C410" t="s">
        <v>420</v>
      </c>
      <c r="D410" t="str">
        <f>"060813"</f>
        <v>060813</v>
      </c>
      <c r="E410">
        <v>2453</v>
      </c>
      <c r="F410">
        <v>1367</v>
      </c>
      <c r="G410" s="1">
        <v>0.55730000000000002</v>
      </c>
      <c r="H410">
        <v>4</v>
      </c>
      <c r="I410">
        <v>2434</v>
      </c>
    </row>
    <row r="411" spans="1:9" x14ac:dyDescent="0.35">
      <c r="A411" t="s">
        <v>9</v>
      </c>
      <c r="B411" t="s">
        <v>324</v>
      </c>
      <c r="C411" t="s">
        <v>421</v>
      </c>
      <c r="D411" t="str">
        <f>"060901"</f>
        <v>060901</v>
      </c>
      <c r="E411">
        <v>9805</v>
      </c>
      <c r="F411">
        <v>5321</v>
      </c>
      <c r="G411" s="1">
        <v>0.54269999999999996</v>
      </c>
      <c r="H411">
        <v>14</v>
      </c>
      <c r="I411">
        <v>9761</v>
      </c>
    </row>
    <row r="412" spans="1:9" x14ac:dyDescent="0.35">
      <c r="A412" t="s">
        <v>9</v>
      </c>
      <c r="B412" t="s">
        <v>324</v>
      </c>
      <c r="C412" t="s">
        <v>422</v>
      </c>
      <c r="D412" t="str">
        <f>"060902"</f>
        <v>060902</v>
      </c>
      <c r="E412">
        <v>2937</v>
      </c>
      <c r="F412">
        <v>1655</v>
      </c>
      <c r="G412" s="1">
        <v>0.5635</v>
      </c>
      <c r="H412">
        <v>6</v>
      </c>
      <c r="I412">
        <v>2927</v>
      </c>
    </row>
    <row r="413" spans="1:9" x14ac:dyDescent="0.35">
      <c r="A413" t="s">
        <v>9</v>
      </c>
      <c r="B413" t="s">
        <v>324</v>
      </c>
      <c r="C413" t="s">
        <v>423</v>
      </c>
      <c r="D413" t="str">
        <f>"060903"</f>
        <v>060903</v>
      </c>
      <c r="E413">
        <v>8777</v>
      </c>
      <c r="F413">
        <v>4836</v>
      </c>
      <c r="G413" s="1">
        <v>0.55100000000000005</v>
      </c>
      <c r="H413">
        <v>19</v>
      </c>
      <c r="I413">
        <v>8761</v>
      </c>
    </row>
    <row r="414" spans="1:9" x14ac:dyDescent="0.35">
      <c r="A414" t="s">
        <v>9</v>
      </c>
      <c r="B414" t="s">
        <v>324</v>
      </c>
      <c r="C414" t="s">
        <v>424</v>
      </c>
      <c r="D414" t="str">
        <f>"060904"</f>
        <v>060904</v>
      </c>
      <c r="E414">
        <v>6999</v>
      </c>
      <c r="F414">
        <v>3867</v>
      </c>
      <c r="G414" s="1">
        <v>0.55249999999999999</v>
      </c>
      <c r="H414">
        <v>10</v>
      </c>
      <c r="I414">
        <v>6974</v>
      </c>
    </row>
    <row r="415" spans="1:9" x14ac:dyDescent="0.35">
      <c r="A415" t="s">
        <v>9</v>
      </c>
      <c r="B415" t="s">
        <v>324</v>
      </c>
      <c r="C415" t="s">
        <v>425</v>
      </c>
      <c r="D415" t="str">
        <f>"060905"</f>
        <v>060905</v>
      </c>
      <c r="E415">
        <v>9744</v>
      </c>
      <c r="F415">
        <v>6213</v>
      </c>
      <c r="G415" s="1">
        <v>0.63759999999999994</v>
      </c>
      <c r="H415">
        <v>11</v>
      </c>
      <c r="I415">
        <v>9686</v>
      </c>
    </row>
    <row r="416" spans="1:9" x14ac:dyDescent="0.35">
      <c r="A416" t="s">
        <v>9</v>
      </c>
      <c r="B416" t="s">
        <v>324</v>
      </c>
      <c r="C416" t="s">
        <v>426</v>
      </c>
      <c r="D416" t="str">
        <f>"060906"</f>
        <v>060906</v>
      </c>
      <c r="E416">
        <v>6304</v>
      </c>
      <c r="F416">
        <v>3420</v>
      </c>
      <c r="G416" s="1">
        <v>0.54249999999999998</v>
      </c>
      <c r="H416">
        <v>7</v>
      </c>
      <c r="I416">
        <v>6278</v>
      </c>
    </row>
    <row r="417" spans="1:9" x14ac:dyDescent="0.35">
      <c r="A417" t="s">
        <v>9</v>
      </c>
      <c r="B417" t="s">
        <v>324</v>
      </c>
      <c r="C417" t="s">
        <v>427</v>
      </c>
      <c r="D417" t="str">
        <f>"060907"</f>
        <v>060907</v>
      </c>
      <c r="E417">
        <v>11111</v>
      </c>
      <c r="F417">
        <v>6742</v>
      </c>
      <c r="G417" s="1">
        <v>0.60680000000000001</v>
      </c>
      <c r="H417">
        <v>8</v>
      </c>
      <c r="I417">
        <v>11081</v>
      </c>
    </row>
    <row r="418" spans="1:9" x14ac:dyDescent="0.35">
      <c r="A418" t="s">
        <v>9</v>
      </c>
      <c r="B418" t="s">
        <v>324</v>
      </c>
      <c r="C418" t="s">
        <v>428</v>
      </c>
      <c r="D418" t="str">
        <f>"060908"</f>
        <v>060908</v>
      </c>
      <c r="E418">
        <v>11147</v>
      </c>
      <c r="F418">
        <v>6785</v>
      </c>
      <c r="G418" s="1">
        <v>0.60870000000000002</v>
      </c>
      <c r="H418">
        <v>6</v>
      </c>
      <c r="I418">
        <v>11078</v>
      </c>
    </row>
    <row r="419" spans="1:9" x14ac:dyDescent="0.35">
      <c r="A419" t="s">
        <v>9</v>
      </c>
      <c r="B419" t="s">
        <v>324</v>
      </c>
      <c r="C419" t="s">
        <v>429</v>
      </c>
      <c r="D419" t="str">
        <f>"060909"</f>
        <v>060909</v>
      </c>
      <c r="E419">
        <v>3479</v>
      </c>
      <c r="F419">
        <v>1936</v>
      </c>
      <c r="G419" s="1">
        <v>0.55649999999999999</v>
      </c>
      <c r="H419">
        <v>6</v>
      </c>
      <c r="I419">
        <v>3462</v>
      </c>
    </row>
    <row r="420" spans="1:9" x14ac:dyDescent="0.35">
      <c r="A420" t="s">
        <v>9</v>
      </c>
      <c r="B420" t="s">
        <v>324</v>
      </c>
      <c r="C420" t="s">
        <v>430</v>
      </c>
      <c r="D420" t="str">
        <f>"060910"</f>
        <v>060910</v>
      </c>
      <c r="E420">
        <v>9029</v>
      </c>
      <c r="F420">
        <v>5229</v>
      </c>
      <c r="G420" s="1">
        <v>0.57909999999999995</v>
      </c>
      <c r="H420">
        <v>11</v>
      </c>
      <c r="I420">
        <v>9007</v>
      </c>
    </row>
    <row r="421" spans="1:9" x14ac:dyDescent="0.35">
      <c r="A421" t="s">
        <v>9</v>
      </c>
      <c r="B421" t="s">
        <v>324</v>
      </c>
      <c r="C421" t="s">
        <v>431</v>
      </c>
      <c r="D421" t="str">
        <f>"060911"</f>
        <v>060911</v>
      </c>
      <c r="E421">
        <v>16019</v>
      </c>
      <c r="F421">
        <v>10083</v>
      </c>
      <c r="G421" s="1">
        <v>0.62939999999999996</v>
      </c>
      <c r="H421">
        <v>11</v>
      </c>
      <c r="I421">
        <v>15956</v>
      </c>
    </row>
    <row r="422" spans="1:9" x14ac:dyDescent="0.35">
      <c r="A422" t="s">
        <v>9</v>
      </c>
      <c r="B422" t="s">
        <v>324</v>
      </c>
      <c r="C422" t="s">
        <v>432</v>
      </c>
      <c r="D422" t="str">
        <f>"060912"</f>
        <v>060912</v>
      </c>
      <c r="E422">
        <v>6243</v>
      </c>
      <c r="F422">
        <v>3450</v>
      </c>
      <c r="G422" s="1">
        <v>0.55259999999999998</v>
      </c>
      <c r="H422">
        <v>7</v>
      </c>
      <c r="I422">
        <v>6215</v>
      </c>
    </row>
    <row r="423" spans="1:9" x14ac:dyDescent="0.35">
      <c r="A423" t="s">
        <v>9</v>
      </c>
      <c r="B423" t="s">
        <v>324</v>
      </c>
      <c r="C423" t="s">
        <v>433</v>
      </c>
      <c r="D423" t="str">
        <f>"060913"</f>
        <v>060913</v>
      </c>
      <c r="E423">
        <v>4604</v>
      </c>
      <c r="F423">
        <v>2579</v>
      </c>
      <c r="G423" s="1">
        <v>0.56020000000000003</v>
      </c>
      <c r="H423">
        <v>6</v>
      </c>
      <c r="I423">
        <v>4598</v>
      </c>
    </row>
    <row r="424" spans="1:9" x14ac:dyDescent="0.35">
      <c r="A424" t="s">
        <v>9</v>
      </c>
      <c r="B424" t="s">
        <v>324</v>
      </c>
      <c r="C424" t="s">
        <v>434</v>
      </c>
      <c r="D424" t="str">
        <f>"060914"</f>
        <v>060914</v>
      </c>
      <c r="E424">
        <v>9852</v>
      </c>
      <c r="F424">
        <v>4943</v>
      </c>
      <c r="G424" s="1">
        <v>0.50170000000000003</v>
      </c>
      <c r="H424">
        <v>9</v>
      </c>
      <c r="I424">
        <v>9825</v>
      </c>
    </row>
    <row r="425" spans="1:9" x14ac:dyDescent="0.35">
      <c r="A425" t="s">
        <v>9</v>
      </c>
      <c r="B425" t="s">
        <v>324</v>
      </c>
      <c r="C425" t="s">
        <v>435</v>
      </c>
      <c r="D425" t="str">
        <f>"060915"</f>
        <v>060915</v>
      </c>
      <c r="E425">
        <v>3466</v>
      </c>
      <c r="F425">
        <v>1884</v>
      </c>
      <c r="G425" s="1">
        <v>0.54359999999999997</v>
      </c>
      <c r="H425">
        <v>6</v>
      </c>
      <c r="I425">
        <v>3441</v>
      </c>
    </row>
    <row r="426" spans="1:9" x14ac:dyDescent="0.35">
      <c r="A426" t="s">
        <v>9</v>
      </c>
      <c r="B426" t="s">
        <v>324</v>
      </c>
      <c r="C426" t="s">
        <v>436</v>
      </c>
      <c r="D426" t="str">
        <f>"060916"</f>
        <v>060916</v>
      </c>
      <c r="E426">
        <v>2218</v>
      </c>
      <c r="F426">
        <v>1207</v>
      </c>
      <c r="G426" s="1">
        <v>0.54420000000000002</v>
      </c>
      <c r="H426">
        <v>4</v>
      </c>
      <c r="I426">
        <v>2210</v>
      </c>
    </row>
    <row r="427" spans="1:9" x14ac:dyDescent="0.35">
      <c r="A427" t="s">
        <v>9</v>
      </c>
      <c r="B427" t="s">
        <v>324</v>
      </c>
      <c r="C427" t="s">
        <v>437</v>
      </c>
      <c r="D427" t="str">
        <f>"061001"</f>
        <v>061001</v>
      </c>
      <c r="E427">
        <v>5761</v>
      </c>
      <c r="F427">
        <v>3040</v>
      </c>
      <c r="G427" s="1">
        <v>0.52769999999999995</v>
      </c>
      <c r="H427">
        <v>12</v>
      </c>
      <c r="I427">
        <v>5739</v>
      </c>
    </row>
    <row r="428" spans="1:9" x14ac:dyDescent="0.35">
      <c r="A428" t="s">
        <v>9</v>
      </c>
      <c r="B428" t="s">
        <v>324</v>
      </c>
      <c r="C428" t="s">
        <v>438</v>
      </c>
      <c r="D428" t="str">
        <f>"061002"</f>
        <v>061002</v>
      </c>
      <c r="E428">
        <v>4278</v>
      </c>
      <c r="F428">
        <v>2412</v>
      </c>
      <c r="G428" s="1">
        <v>0.56379999999999997</v>
      </c>
      <c r="H428">
        <v>7</v>
      </c>
      <c r="I428">
        <v>4235</v>
      </c>
    </row>
    <row r="429" spans="1:9" x14ac:dyDescent="0.35">
      <c r="A429" t="s">
        <v>9</v>
      </c>
      <c r="B429" t="s">
        <v>324</v>
      </c>
      <c r="C429" t="s">
        <v>439</v>
      </c>
      <c r="D429" t="str">
        <f>"061003"</f>
        <v>061003</v>
      </c>
      <c r="E429">
        <v>16818</v>
      </c>
      <c r="F429">
        <v>9614</v>
      </c>
      <c r="G429" s="1">
        <v>0.5716</v>
      </c>
      <c r="H429">
        <v>16</v>
      </c>
      <c r="I429">
        <v>16688</v>
      </c>
    </row>
    <row r="430" spans="1:9" x14ac:dyDescent="0.35">
      <c r="A430" t="s">
        <v>9</v>
      </c>
      <c r="B430" t="s">
        <v>324</v>
      </c>
      <c r="C430" t="s">
        <v>440</v>
      </c>
      <c r="D430" t="str">
        <f>"061004"</f>
        <v>061004</v>
      </c>
      <c r="E430">
        <v>6794</v>
      </c>
      <c r="F430">
        <v>3584</v>
      </c>
      <c r="G430" s="1">
        <v>0.52749999999999997</v>
      </c>
      <c r="H430">
        <v>9</v>
      </c>
      <c r="I430">
        <v>6736</v>
      </c>
    </row>
    <row r="431" spans="1:9" x14ac:dyDescent="0.35">
      <c r="A431" t="s">
        <v>9</v>
      </c>
      <c r="B431" t="s">
        <v>324</v>
      </c>
      <c r="C431" t="s">
        <v>441</v>
      </c>
      <c r="D431" t="str">
        <f>"061005"</f>
        <v>061005</v>
      </c>
      <c r="E431">
        <v>4281</v>
      </c>
      <c r="F431">
        <v>2576</v>
      </c>
      <c r="G431" s="1">
        <v>0.60170000000000001</v>
      </c>
      <c r="H431">
        <v>12</v>
      </c>
      <c r="I431">
        <v>4264</v>
      </c>
    </row>
    <row r="432" spans="1:9" x14ac:dyDescent="0.35">
      <c r="A432" t="s">
        <v>9</v>
      </c>
      <c r="B432" t="s">
        <v>324</v>
      </c>
      <c r="C432" t="s">
        <v>442</v>
      </c>
      <c r="D432" t="str">
        <f>"061006"</f>
        <v>061006</v>
      </c>
      <c r="E432">
        <v>4442</v>
      </c>
      <c r="F432">
        <v>2461</v>
      </c>
      <c r="G432" s="1">
        <v>0.55400000000000005</v>
      </c>
      <c r="H432">
        <v>7</v>
      </c>
      <c r="I432">
        <v>4435</v>
      </c>
    </row>
    <row r="433" spans="1:9" x14ac:dyDescent="0.35">
      <c r="A433" t="s">
        <v>9</v>
      </c>
      <c r="B433" t="s">
        <v>324</v>
      </c>
      <c r="C433" t="s">
        <v>443</v>
      </c>
      <c r="D433" t="str">
        <f>"061101"</f>
        <v>061101</v>
      </c>
      <c r="E433">
        <v>21060</v>
      </c>
      <c r="F433">
        <v>12621</v>
      </c>
      <c r="G433" s="1">
        <v>0.59930000000000005</v>
      </c>
      <c r="H433">
        <v>21</v>
      </c>
      <c r="I433">
        <v>20887</v>
      </c>
    </row>
    <row r="434" spans="1:9" x14ac:dyDescent="0.35">
      <c r="A434" t="s">
        <v>9</v>
      </c>
      <c r="B434" t="s">
        <v>324</v>
      </c>
      <c r="C434" t="s">
        <v>444</v>
      </c>
      <c r="D434" t="str">
        <f>"061102"</f>
        <v>061102</v>
      </c>
      <c r="E434">
        <v>1933</v>
      </c>
      <c r="F434">
        <v>1230</v>
      </c>
      <c r="G434" s="1">
        <v>0.63629999999999998</v>
      </c>
      <c r="H434">
        <v>2</v>
      </c>
      <c r="I434">
        <v>1901</v>
      </c>
    </row>
    <row r="435" spans="1:9" x14ac:dyDescent="0.35">
      <c r="A435" t="s">
        <v>9</v>
      </c>
      <c r="B435" t="s">
        <v>324</v>
      </c>
      <c r="C435" t="s">
        <v>445</v>
      </c>
      <c r="D435" t="str">
        <f>"061103"</f>
        <v>061103</v>
      </c>
      <c r="E435">
        <v>4070</v>
      </c>
      <c r="F435">
        <v>2286</v>
      </c>
      <c r="G435" s="1">
        <v>0.56169999999999998</v>
      </c>
      <c r="H435">
        <v>7</v>
      </c>
      <c r="I435">
        <v>4030</v>
      </c>
    </row>
    <row r="436" spans="1:9" x14ac:dyDescent="0.35">
      <c r="A436" t="s">
        <v>9</v>
      </c>
      <c r="B436" t="s">
        <v>324</v>
      </c>
      <c r="C436" t="s">
        <v>446</v>
      </c>
      <c r="D436" t="str">
        <f>"061104"</f>
        <v>061104</v>
      </c>
      <c r="E436">
        <v>7531</v>
      </c>
      <c r="F436">
        <v>4048</v>
      </c>
      <c r="G436" s="1">
        <v>0.53749999999999998</v>
      </c>
      <c r="H436">
        <v>12</v>
      </c>
      <c r="I436">
        <v>7521</v>
      </c>
    </row>
    <row r="437" spans="1:9" x14ac:dyDescent="0.35">
      <c r="A437" t="s">
        <v>9</v>
      </c>
      <c r="B437" t="s">
        <v>324</v>
      </c>
      <c r="C437" t="s">
        <v>447</v>
      </c>
      <c r="D437" t="str">
        <f>"061105"</f>
        <v>061105</v>
      </c>
      <c r="E437">
        <v>13493</v>
      </c>
      <c r="F437">
        <v>8007</v>
      </c>
      <c r="G437" s="1">
        <v>0.59340000000000004</v>
      </c>
      <c r="H437">
        <v>27</v>
      </c>
      <c r="I437">
        <v>13431</v>
      </c>
    </row>
    <row r="438" spans="1:9" x14ac:dyDescent="0.35">
      <c r="A438" t="s">
        <v>9</v>
      </c>
      <c r="B438" t="s">
        <v>324</v>
      </c>
      <c r="C438" t="s">
        <v>448</v>
      </c>
      <c r="D438" t="str">
        <f>"061106"</f>
        <v>061106</v>
      </c>
      <c r="E438">
        <v>2976</v>
      </c>
      <c r="F438">
        <v>1676</v>
      </c>
      <c r="G438" s="1">
        <v>0.56320000000000003</v>
      </c>
      <c r="H438">
        <v>5</v>
      </c>
      <c r="I438">
        <v>2957</v>
      </c>
    </row>
    <row r="439" spans="1:9" x14ac:dyDescent="0.35">
      <c r="A439" t="s">
        <v>9</v>
      </c>
      <c r="B439" t="s">
        <v>324</v>
      </c>
      <c r="C439" t="s">
        <v>449</v>
      </c>
      <c r="D439" t="str">
        <f>"061107"</f>
        <v>061107</v>
      </c>
      <c r="E439">
        <v>7197</v>
      </c>
      <c r="F439">
        <v>4249</v>
      </c>
      <c r="G439" s="1">
        <v>0.59040000000000004</v>
      </c>
      <c r="H439">
        <v>14</v>
      </c>
      <c r="I439">
        <v>7158</v>
      </c>
    </row>
    <row r="440" spans="1:9" x14ac:dyDescent="0.35">
      <c r="A440" t="s">
        <v>9</v>
      </c>
      <c r="B440" t="s">
        <v>324</v>
      </c>
      <c r="C440" t="s">
        <v>450</v>
      </c>
      <c r="D440" t="str">
        <f>"061108"</f>
        <v>061108</v>
      </c>
      <c r="E440">
        <v>5899</v>
      </c>
      <c r="F440">
        <v>3532</v>
      </c>
      <c r="G440" s="1">
        <v>0.59870000000000001</v>
      </c>
      <c r="H440">
        <v>19</v>
      </c>
      <c r="I440">
        <v>5860</v>
      </c>
    </row>
    <row r="441" spans="1:9" x14ac:dyDescent="0.35">
      <c r="A441" t="s">
        <v>9</v>
      </c>
      <c r="B441" t="s">
        <v>324</v>
      </c>
      <c r="C441" t="s">
        <v>451</v>
      </c>
      <c r="D441" t="str">
        <f>"061109"</f>
        <v>061109</v>
      </c>
      <c r="E441">
        <v>5493</v>
      </c>
      <c r="F441">
        <v>3341</v>
      </c>
      <c r="G441" s="1">
        <v>0.60819999999999996</v>
      </c>
      <c r="H441">
        <v>10</v>
      </c>
      <c r="I441">
        <v>5492</v>
      </c>
    </row>
    <row r="442" spans="1:9" x14ac:dyDescent="0.35">
      <c r="A442" t="s">
        <v>9</v>
      </c>
      <c r="B442" t="s">
        <v>324</v>
      </c>
      <c r="C442" t="s">
        <v>452</v>
      </c>
      <c r="D442" t="str">
        <f>"061110"</f>
        <v>061110</v>
      </c>
      <c r="E442">
        <v>5084</v>
      </c>
      <c r="F442">
        <v>2866</v>
      </c>
      <c r="G442" s="1">
        <v>0.56369999999999998</v>
      </c>
      <c r="H442">
        <v>10</v>
      </c>
      <c r="I442">
        <v>5051</v>
      </c>
    </row>
    <row r="443" spans="1:9" x14ac:dyDescent="0.35">
      <c r="A443" t="s">
        <v>9</v>
      </c>
      <c r="B443" t="s">
        <v>324</v>
      </c>
      <c r="C443" t="s">
        <v>453</v>
      </c>
      <c r="D443" t="str">
        <f>"061111"</f>
        <v>061111</v>
      </c>
      <c r="E443">
        <v>3574</v>
      </c>
      <c r="F443">
        <v>2024</v>
      </c>
      <c r="G443" s="1">
        <v>0.56630000000000003</v>
      </c>
      <c r="H443">
        <v>4</v>
      </c>
      <c r="I443">
        <v>3554</v>
      </c>
    </row>
    <row r="444" spans="1:9" x14ac:dyDescent="0.35">
      <c r="A444" t="s">
        <v>9</v>
      </c>
      <c r="B444" t="s">
        <v>324</v>
      </c>
      <c r="C444" t="s">
        <v>454</v>
      </c>
      <c r="D444" t="str">
        <f>"061201"</f>
        <v>061201</v>
      </c>
      <c r="E444">
        <v>4915</v>
      </c>
      <c r="F444">
        <v>2593</v>
      </c>
      <c r="G444" s="1">
        <v>0.52759999999999996</v>
      </c>
      <c r="H444">
        <v>8</v>
      </c>
      <c r="I444">
        <v>4891</v>
      </c>
    </row>
    <row r="445" spans="1:9" x14ac:dyDescent="0.35">
      <c r="A445" t="s">
        <v>9</v>
      </c>
      <c r="B445" t="s">
        <v>324</v>
      </c>
      <c r="C445" t="s">
        <v>455</v>
      </c>
      <c r="D445" t="str">
        <f>"061202"</f>
        <v>061202</v>
      </c>
      <c r="E445">
        <v>4988</v>
      </c>
      <c r="F445">
        <v>2446</v>
      </c>
      <c r="G445" s="1">
        <v>0.4904</v>
      </c>
      <c r="H445">
        <v>8</v>
      </c>
      <c r="I445">
        <v>4914</v>
      </c>
    </row>
    <row r="446" spans="1:9" x14ac:dyDescent="0.35">
      <c r="A446" t="s">
        <v>9</v>
      </c>
      <c r="B446" t="s">
        <v>324</v>
      </c>
      <c r="C446" t="s">
        <v>456</v>
      </c>
      <c r="D446" t="str">
        <f>"061203"</f>
        <v>061203</v>
      </c>
      <c r="E446">
        <v>4229</v>
      </c>
      <c r="F446">
        <v>2266</v>
      </c>
      <c r="G446" s="1">
        <v>0.53580000000000005</v>
      </c>
      <c r="H446">
        <v>7</v>
      </c>
      <c r="I446">
        <v>4213</v>
      </c>
    </row>
    <row r="447" spans="1:9" x14ac:dyDescent="0.35">
      <c r="A447" t="s">
        <v>9</v>
      </c>
      <c r="B447" t="s">
        <v>324</v>
      </c>
      <c r="C447" t="s">
        <v>457</v>
      </c>
      <c r="D447" t="str">
        <f>"061204"</f>
        <v>061204</v>
      </c>
      <c r="E447">
        <v>3726</v>
      </c>
      <c r="F447">
        <v>1929</v>
      </c>
      <c r="G447" s="1">
        <v>0.51770000000000005</v>
      </c>
      <c r="H447">
        <v>6</v>
      </c>
      <c r="I447">
        <v>3699</v>
      </c>
    </row>
    <row r="448" spans="1:9" x14ac:dyDescent="0.35">
      <c r="A448" t="s">
        <v>9</v>
      </c>
      <c r="B448" t="s">
        <v>324</v>
      </c>
      <c r="C448" t="s">
        <v>458</v>
      </c>
      <c r="D448" t="str">
        <f>"061205"</f>
        <v>061205</v>
      </c>
      <c r="E448">
        <v>12694</v>
      </c>
      <c r="F448">
        <v>6598</v>
      </c>
      <c r="G448" s="1">
        <v>0.51980000000000004</v>
      </c>
      <c r="H448">
        <v>19</v>
      </c>
      <c r="I448">
        <v>12648</v>
      </c>
    </row>
    <row r="449" spans="1:9" x14ac:dyDescent="0.35">
      <c r="A449" t="s">
        <v>9</v>
      </c>
      <c r="B449" t="s">
        <v>324</v>
      </c>
      <c r="C449" t="s">
        <v>459</v>
      </c>
      <c r="D449" t="str">
        <f>"061206"</f>
        <v>061206</v>
      </c>
      <c r="E449">
        <v>10351</v>
      </c>
      <c r="F449">
        <v>5776</v>
      </c>
      <c r="G449" s="1">
        <v>0.55800000000000005</v>
      </c>
      <c r="H449">
        <v>11</v>
      </c>
      <c r="I449">
        <v>10277</v>
      </c>
    </row>
    <row r="450" spans="1:9" x14ac:dyDescent="0.35">
      <c r="A450" t="s">
        <v>9</v>
      </c>
      <c r="B450" t="s">
        <v>324</v>
      </c>
      <c r="C450" t="s">
        <v>460</v>
      </c>
      <c r="D450" t="str">
        <f>"061207"</f>
        <v>061207</v>
      </c>
      <c r="E450">
        <v>3441</v>
      </c>
      <c r="F450">
        <v>1834</v>
      </c>
      <c r="G450" s="1">
        <v>0.53300000000000003</v>
      </c>
      <c r="H450">
        <v>8</v>
      </c>
      <c r="I450">
        <v>3398</v>
      </c>
    </row>
    <row r="451" spans="1:9" x14ac:dyDescent="0.35">
      <c r="A451" t="s">
        <v>9</v>
      </c>
      <c r="B451" t="s">
        <v>324</v>
      </c>
      <c r="C451" t="s">
        <v>461</v>
      </c>
      <c r="D451" t="str">
        <f>"061301"</f>
        <v>061301</v>
      </c>
      <c r="E451">
        <v>2964</v>
      </c>
      <c r="F451">
        <v>1529</v>
      </c>
      <c r="G451" s="1">
        <v>0.51590000000000003</v>
      </c>
      <c r="H451">
        <v>7</v>
      </c>
      <c r="I451">
        <v>2916</v>
      </c>
    </row>
    <row r="452" spans="1:9" x14ac:dyDescent="0.35">
      <c r="A452" t="s">
        <v>9</v>
      </c>
      <c r="B452" t="s">
        <v>324</v>
      </c>
      <c r="C452" t="s">
        <v>462</v>
      </c>
      <c r="D452" t="str">
        <f>"061302"</f>
        <v>061302</v>
      </c>
      <c r="E452">
        <v>2787</v>
      </c>
      <c r="F452">
        <v>1565</v>
      </c>
      <c r="G452" s="1">
        <v>0.5615</v>
      </c>
      <c r="H452">
        <v>6</v>
      </c>
      <c r="I452">
        <v>2763</v>
      </c>
    </row>
    <row r="453" spans="1:9" x14ac:dyDescent="0.35">
      <c r="A453" t="s">
        <v>9</v>
      </c>
      <c r="B453" t="s">
        <v>324</v>
      </c>
      <c r="C453" t="s">
        <v>463</v>
      </c>
      <c r="D453" t="str">
        <f>"061303"</f>
        <v>061303</v>
      </c>
      <c r="E453">
        <v>2830</v>
      </c>
      <c r="F453">
        <v>1564</v>
      </c>
      <c r="G453" s="1">
        <v>0.55269999999999997</v>
      </c>
      <c r="H453">
        <v>6</v>
      </c>
      <c r="I453">
        <v>2797</v>
      </c>
    </row>
    <row r="454" spans="1:9" x14ac:dyDescent="0.35">
      <c r="A454" t="s">
        <v>9</v>
      </c>
      <c r="B454" t="s">
        <v>324</v>
      </c>
      <c r="C454" t="s">
        <v>464</v>
      </c>
      <c r="D454" t="str">
        <f>"061304"</f>
        <v>061304</v>
      </c>
      <c r="E454">
        <v>10642</v>
      </c>
      <c r="F454">
        <v>6150</v>
      </c>
      <c r="G454" s="1">
        <v>0.57789999999999997</v>
      </c>
      <c r="H454">
        <v>13</v>
      </c>
      <c r="I454">
        <v>10579</v>
      </c>
    </row>
    <row r="455" spans="1:9" x14ac:dyDescent="0.35">
      <c r="A455" t="s">
        <v>9</v>
      </c>
      <c r="B455" t="s">
        <v>324</v>
      </c>
      <c r="C455" t="s">
        <v>465</v>
      </c>
      <c r="D455" t="str">
        <f>"061305"</f>
        <v>061305</v>
      </c>
      <c r="E455">
        <v>1250</v>
      </c>
      <c r="F455">
        <v>729</v>
      </c>
      <c r="G455" s="1">
        <v>0.58320000000000005</v>
      </c>
      <c r="H455">
        <v>3</v>
      </c>
      <c r="I455">
        <v>1240</v>
      </c>
    </row>
    <row r="456" spans="1:9" x14ac:dyDescent="0.35">
      <c r="A456" t="s">
        <v>9</v>
      </c>
      <c r="B456" t="s">
        <v>324</v>
      </c>
      <c r="C456" t="s">
        <v>466</v>
      </c>
      <c r="D456" t="str">
        <f>"061306"</f>
        <v>061306</v>
      </c>
      <c r="E456">
        <v>3428</v>
      </c>
      <c r="F456">
        <v>1920</v>
      </c>
      <c r="G456" s="1">
        <v>0.56010000000000004</v>
      </c>
      <c r="H456">
        <v>6</v>
      </c>
      <c r="I456">
        <v>3409</v>
      </c>
    </row>
    <row r="457" spans="1:9" x14ac:dyDescent="0.35">
      <c r="A457" t="s">
        <v>9</v>
      </c>
      <c r="B457" t="s">
        <v>324</v>
      </c>
      <c r="C457" t="s">
        <v>467</v>
      </c>
      <c r="D457" t="str">
        <f>"061307"</f>
        <v>061307</v>
      </c>
      <c r="E457">
        <v>1888</v>
      </c>
      <c r="F457">
        <v>1081</v>
      </c>
      <c r="G457" s="1">
        <v>0.5726</v>
      </c>
      <c r="H457">
        <v>4</v>
      </c>
      <c r="I457">
        <v>1869</v>
      </c>
    </row>
    <row r="458" spans="1:9" x14ac:dyDescent="0.35">
      <c r="A458" t="s">
        <v>9</v>
      </c>
      <c r="B458" t="s">
        <v>324</v>
      </c>
      <c r="C458" t="s">
        <v>468</v>
      </c>
      <c r="D458" t="str">
        <f>"061401"</f>
        <v>061401</v>
      </c>
      <c r="E458">
        <v>34782</v>
      </c>
      <c r="F458">
        <v>20464</v>
      </c>
      <c r="G458" s="1">
        <v>0.58840000000000003</v>
      </c>
      <c r="H458">
        <v>23</v>
      </c>
      <c r="I458">
        <v>34587</v>
      </c>
    </row>
    <row r="459" spans="1:9" x14ac:dyDescent="0.35">
      <c r="A459" t="s">
        <v>9</v>
      </c>
      <c r="B459" t="s">
        <v>324</v>
      </c>
      <c r="C459" t="s">
        <v>469</v>
      </c>
      <c r="D459" t="str">
        <f>"061402"</f>
        <v>061402</v>
      </c>
      <c r="E459">
        <v>2995</v>
      </c>
      <c r="F459">
        <v>1686</v>
      </c>
      <c r="G459" s="1">
        <v>0.56289999999999996</v>
      </c>
      <c r="H459">
        <v>8</v>
      </c>
      <c r="I459">
        <v>2978</v>
      </c>
    </row>
    <row r="460" spans="1:9" x14ac:dyDescent="0.35">
      <c r="A460" t="s">
        <v>9</v>
      </c>
      <c r="B460" t="s">
        <v>324</v>
      </c>
      <c r="C460" t="s">
        <v>470</v>
      </c>
      <c r="D460" t="str">
        <f>"061403"</f>
        <v>061403</v>
      </c>
      <c r="E460">
        <v>2886</v>
      </c>
      <c r="F460">
        <v>1736</v>
      </c>
      <c r="G460" s="1">
        <v>0.60150000000000003</v>
      </c>
      <c r="H460">
        <v>6</v>
      </c>
      <c r="I460">
        <v>2854</v>
      </c>
    </row>
    <row r="461" spans="1:9" x14ac:dyDescent="0.35">
      <c r="A461" t="s">
        <v>9</v>
      </c>
      <c r="B461" t="s">
        <v>324</v>
      </c>
      <c r="C461" t="s">
        <v>471</v>
      </c>
      <c r="D461" t="str">
        <f>"061404"</f>
        <v>061404</v>
      </c>
      <c r="E461">
        <v>5692</v>
      </c>
      <c r="F461">
        <v>3167</v>
      </c>
      <c r="G461" s="1">
        <v>0.55640000000000001</v>
      </c>
      <c r="H461">
        <v>5</v>
      </c>
      <c r="I461">
        <v>5449</v>
      </c>
    </row>
    <row r="462" spans="1:9" x14ac:dyDescent="0.35">
      <c r="A462" t="s">
        <v>9</v>
      </c>
      <c r="B462" t="s">
        <v>324</v>
      </c>
      <c r="C462" t="s">
        <v>472</v>
      </c>
      <c r="D462" t="str">
        <f>"061405"</f>
        <v>061405</v>
      </c>
      <c r="E462">
        <v>6757</v>
      </c>
      <c r="F462">
        <v>3818</v>
      </c>
      <c r="G462" s="1">
        <v>0.56499999999999995</v>
      </c>
      <c r="H462">
        <v>10</v>
      </c>
      <c r="I462">
        <v>6733</v>
      </c>
    </row>
    <row r="463" spans="1:9" x14ac:dyDescent="0.35">
      <c r="A463" t="s">
        <v>9</v>
      </c>
      <c r="B463" t="s">
        <v>324</v>
      </c>
      <c r="C463" t="s">
        <v>473</v>
      </c>
      <c r="D463" t="str">
        <f>"061406"</f>
        <v>061406</v>
      </c>
      <c r="E463">
        <v>5861</v>
      </c>
      <c r="F463">
        <v>3124</v>
      </c>
      <c r="G463" s="1">
        <v>0.53300000000000003</v>
      </c>
      <c r="H463">
        <v>9</v>
      </c>
      <c r="I463">
        <v>5833</v>
      </c>
    </row>
    <row r="464" spans="1:9" x14ac:dyDescent="0.35">
      <c r="A464" t="s">
        <v>9</v>
      </c>
      <c r="B464" t="s">
        <v>324</v>
      </c>
      <c r="C464" t="s">
        <v>474</v>
      </c>
      <c r="D464" t="str">
        <f>"061407"</f>
        <v>061407</v>
      </c>
      <c r="E464">
        <v>2265</v>
      </c>
      <c r="F464">
        <v>1228</v>
      </c>
      <c r="G464" s="1">
        <v>0.54220000000000002</v>
      </c>
      <c r="H464">
        <v>4</v>
      </c>
      <c r="I464">
        <v>2255</v>
      </c>
    </row>
    <row r="465" spans="1:9" x14ac:dyDescent="0.35">
      <c r="A465" t="s">
        <v>9</v>
      </c>
      <c r="B465" t="s">
        <v>324</v>
      </c>
      <c r="C465" t="s">
        <v>475</v>
      </c>
      <c r="D465" t="str">
        <f>"061408"</f>
        <v>061408</v>
      </c>
      <c r="E465">
        <v>7037</v>
      </c>
      <c r="F465">
        <v>4021</v>
      </c>
      <c r="G465" s="1">
        <v>0.57140000000000002</v>
      </c>
      <c r="H465">
        <v>10</v>
      </c>
      <c r="I465">
        <v>6876</v>
      </c>
    </row>
    <row r="466" spans="1:9" x14ac:dyDescent="0.35">
      <c r="A466" t="s">
        <v>9</v>
      </c>
      <c r="B466" t="s">
        <v>324</v>
      </c>
      <c r="C466" t="s">
        <v>476</v>
      </c>
      <c r="D466" t="str">
        <f>"061409"</f>
        <v>061409</v>
      </c>
      <c r="E466">
        <v>9505</v>
      </c>
      <c r="F466">
        <v>5603</v>
      </c>
      <c r="G466" s="1">
        <v>0.58950000000000002</v>
      </c>
      <c r="H466">
        <v>9</v>
      </c>
      <c r="I466">
        <v>9440</v>
      </c>
    </row>
    <row r="467" spans="1:9" x14ac:dyDescent="0.35">
      <c r="A467" t="s">
        <v>9</v>
      </c>
      <c r="B467" t="s">
        <v>324</v>
      </c>
      <c r="C467" t="s">
        <v>477</v>
      </c>
      <c r="D467" t="str">
        <f>"061410"</f>
        <v>061410</v>
      </c>
      <c r="E467">
        <v>3591</v>
      </c>
      <c r="F467">
        <v>2016</v>
      </c>
      <c r="G467" s="1">
        <v>0.56140000000000001</v>
      </c>
      <c r="H467">
        <v>5</v>
      </c>
      <c r="I467">
        <v>3544</v>
      </c>
    </row>
    <row r="468" spans="1:9" x14ac:dyDescent="0.35">
      <c r="A468" t="s">
        <v>9</v>
      </c>
      <c r="B468" t="s">
        <v>324</v>
      </c>
      <c r="C468" t="s">
        <v>478</v>
      </c>
      <c r="D468" t="str">
        <f>"061411"</f>
        <v>061411</v>
      </c>
      <c r="E468">
        <v>4871</v>
      </c>
      <c r="F468">
        <v>2914</v>
      </c>
      <c r="G468" s="1">
        <v>0.59819999999999995</v>
      </c>
      <c r="H468">
        <v>11</v>
      </c>
      <c r="I468">
        <v>4855</v>
      </c>
    </row>
    <row r="469" spans="1:9" x14ac:dyDescent="0.35">
      <c r="A469" t="s">
        <v>9</v>
      </c>
      <c r="B469" t="s">
        <v>324</v>
      </c>
      <c r="C469" t="s">
        <v>479</v>
      </c>
      <c r="D469" t="str">
        <f>"061501"</f>
        <v>061501</v>
      </c>
      <c r="E469">
        <v>11098</v>
      </c>
      <c r="F469">
        <v>6542</v>
      </c>
      <c r="G469" s="1">
        <v>0.58950000000000002</v>
      </c>
      <c r="H469">
        <v>9</v>
      </c>
      <c r="I469">
        <v>11062</v>
      </c>
    </row>
    <row r="470" spans="1:9" x14ac:dyDescent="0.35">
      <c r="A470" t="s">
        <v>9</v>
      </c>
      <c r="B470" t="s">
        <v>324</v>
      </c>
      <c r="C470" t="s">
        <v>480</v>
      </c>
      <c r="D470" t="str">
        <f>"061502"</f>
        <v>061502</v>
      </c>
      <c r="E470">
        <v>4538</v>
      </c>
      <c r="F470">
        <v>2484</v>
      </c>
      <c r="G470" s="1">
        <v>0.5474</v>
      </c>
      <c r="H470">
        <v>11</v>
      </c>
      <c r="I470">
        <v>4479</v>
      </c>
    </row>
    <row r="471" spans="1:9" x14ac:dyDescent="0.35">
      <c r="A471" t="s">
        <v>9</v>
      </c>
      <c r="B471" t="s">
        <v>324</v>
      </c>
      <c r="C471" t="s">
        <v>481</v>
      </c>
      <c r="D471" t="str">
        <f>"061503"</f>
        <v>061503</v>
      </c>
      <c r="E471">
        <v>3323</v>
      </c>
      <c r="F471">
        <v>1998</v>
      </c>
      <c r="G471" s="1">
        <v>0.60129999999999995</v>
      </c>
      <c r="H471">
        <v>8</v>
      </c>
      <c r="I471">
        <v>3296</v>
      </c>
    </row>
    <row r="472" spans="1:9" x14ac:dyDescent="0.35">
      <c r="A472" t="s">
        <v>9</v>
      </c>
      <c r="B472" t="s">
        <v>324</v>
      </c>
      <c r="C472" t="s">
        <v>482</v>
      </c>
      <c r="D472" t="str">
        <f>"061504"</f>
        <v>061504</v>
      </c>
      <c r="E472">
        <v>5876</v>
      </c>
      <c r="F472">
        <v>3324</v>
      </c>
      <c r="G472" s="1">
        <v>0.56569999999999998</v>
      </c>
      <c r="H472">
        <v>9</v>
      </c>
      <c r="I472">
        <v>6031</v>
      </c>
    </row>
    <row r="473" spans="1:9" x14ac:dyDescent="0.35">
      <c r="A473" t="s">
        <v>9</v>
      </c>
      <c r="B473" t="s">
        <v>324</v>
      </c>
      <c r="C473" t="s">
        <v>483</v>
      </c>
      <c r="D473" t="str">
        <f>"061505"</f>
        <v>061505</v>
      </c>
      <c r="E473">
        <v>3215</v>
      </c>
      <c r="F473">
        <v>1814</v>
      </c>
      <c r="G473" s="1">
        <v>0.56420000000000003</v>
      </c>
      <c r="H473">
        <v>9</v>
      </c>
      <c r="I473">
        <v>3198</v>
      </c>
    </row>
    <row r="474" spans="1:9" x14ac:dyDescent="0.35">
      <c r="A474" t="s">
        <v>9</v>
      </c>
      <c r="B474" t="s">
        <v>324</v>
      </c>
      <c r="C474" t="s">
        <v>484</v>
      </c>
      <c r="D474" t="str">
        <f>"061506"</f>
        <v>061506</v>
      </c>
      <c r="E474">
        <v>6182</v>
      </c>
      <c r="F474">
        <v>3417</v>
      </c>
      <c r="G474" s="1">
        <v>0.55269999999999997</v>
      </c>
      <c r="H474">
        <v>14</v>
      </c>
      <c r="I474">
        <v>6146</v>
      </c>
    </row>
    <row r="475" spans="1:9" x14ac:dyDescent="0.35">
      <c r="A475" t="s">
        <v>9</v>
      </c>
      <c r="B475" t="s">
        <v>324</v>
      </c>
      <c r="C475" t="s">
        <v>485</v>
      </c>
      <c r="D475" t="str">
        <f>"061507"</f>
        <v>061507</v>
      </c>
      <c r="E475">
        <v>4406</v>
      </c>
      <c r="F475">
        <v>2589</v>
      </c>
      <c r="G475" s="1">
        <v>0.58760000000000001</v>
      </c>
      <c r="H475">
        <v>7</v>
      </c>
      <c r="I475">
        <v>4383</v>
      </c>
    </row>
    <row r="476" spans="1:9" x14ac:dyDescent="0.35">
      <c r="A476" t="s">
        <v>9</v>
      </c>
      <c r="B476" t="s">
        <v>324</v>
      </c>
      <c r="C476" t="s">
        <v>486</v>
      </c>
      <c r="D476" t="str">
        <f>"061508"</f>
        <v>061508</v>
      </c>
      <c r="E476">
        <v>4947</v>
      </c>
      <c r="F476">
        <v>2579</v>
      </c>
      <c r="G476" s="1">
        <v>0.52129999999999999</v>
      </c>
      <c r="H476">
        <v>8</v>
      </c>
      <c r="I476">
        <v>4915</v>
      </c>
    </row>
    <row r="477" spans="1:9" x14ac:dyDescent="0.35">
      <c r="A477" t="s">
        <v>9</v>
      </c>
      <c r="B477" t="s">
        <v>324</v>
      </c>
      <c r="C477" t="s">
        <v>487</v>
      </c>
      <c r="D477" t="str">
        <f>"061601"</f>
        <v>061601</v>
      </c>
      <c r="E477">
        <v>11625</v>
      </c>
      <c r="F477">
        <v>6978</v>
      </c>
      <c r="G477" s="1">
        <v>0.60029999999999994</v>
      </c>
      <c r="H477">
        <v>17</v>
      </c>
      <c r="I477">
        <v>11440</v>
      </c>
    </row>
    <row r="478" spans="1:9" x14ac:dyDescent="0.35">
      <c r="A478" t="s">
        <v>9</v>
      </c>
      <c r="B478" t="s">
        <v>324</v>
      </c>
      <c r="C478" t="s">
        <v>488</v>
      </c>
      <c r="D478" t="str">
        <f>"061602"</f>
        <v>061602</v>
      </c>
      <c r="E478">
        <v>5319</v>
      </c>
      <c r="F478">
        <v>3066</v>
      </c>
      <c r="G478" s="1">
        <v>0.57640000000000002</v>
      </c>
      <c r="H478">
        <v>13</v>
      </c>
      <c r="I478">
        <v>5310</v>
      </c>
    </row>
    <row r="479" spans="1:9" x14ac:dyDescent="0.35">
      <c r="A479" t="s">
        <v>9</v>
      </c>
      <c r="B479" t="s">
        <v>324</v>
      </c>
      <c r="C479" t="s">
        <v>489</v>
      </c>
      <c r="D479" t="str">
        <f>"061603"</f>
        <v>061603</v>
      </c>
      <c r="E479">
        <v>3100</v>
      </c>
      <c r="F479">
        <v>1886</v>
      </c>
      <c r="G479" s="1">
        <v>0.60840000000000005</v>
      </c>
      <c r="H479">
        <v>8</v>
      </c>
      <c r="I479">
        <v>3080</v>
      </c>
    </row>
    <row r="480" spans="1:9" x14ac:dyDescent="0.35">
      <c r="A480" t="s">
        <v>9</v>
      </c>
      <c r="B480" t="s">
        <v>324</v>
      </c>
      <c r="C480" t="s">
        <v>490</v>
      </c>
      <c r="D480" t="str">
        <f>"061604"</f>
        <v>061604</v>
      </c>
      <c r="E480">
        <v>15444</v>
      </c>
      <c r="F480">
        <v>9270</v>
      </c>
      <c r="G480" s="1">
        <v>0.60019999999999996</v>
      </c>
      <c r="H480">
        <v>23</v>
      </c>
      <c r="I480">
        <v>15327</v>
      </c>
    </row>
    <row r="481" spans="1:9" x14ac:dyDescent="0.35">
      <c r="A481" t="s">
        <v>9</v>
      </c>
      <c r="B481" t="s">
        <v>324</v>
      </c>
      <c r="C481" t="s">
        <v>491</v>
      </c>
      <c r="D481" t="str">
        <f>"061605"</f>
        <v>061605</v>
      </c>
      <c r="E481">
        <v>3975</v>
      </c>
      <c r="F481">
        <v>2395</v>
      </c>
      <c r="G481" s="1">
        <v>0.60250000000000004</v>
      </c>
      <c r="H481">
        <v>7</v>
      </c>
      <c r="I481">
        <v>3950</v>
      </c>
    </row>
    <row r="482" spans="1:9" x14ac:dyDescent="0.35">
      <c r="A482" t="s">
        <v>9</v>
      </c>
      <c r="B482" t="s">
        <v>324</v>
      </c>
      <c r="C482" t="s">
        <v>492</v>
      </c>
      <c r="D482" t="str">
        <f>"061606"</f>
        <v>061606</v>
      </c>
      <c r="E482">
        <v>2412</v>
      </c>
      <c r="F482">
        <v>1414</v>
      </c>
      <c r="G482" s="1">
        <v>0.58620000000000005</v>
      </c>
      <c r="H482">
        <v>7</v>
      </c>
      <c r="I482">
        <v>2380</v>
      </c>
    </row>
    <row r="483" spans="1:9" x14ac:dyDescent="0.35">
      <c r="A483" t="s">
        <v>9</v>
      </c>
      <c r="B483" t="s">
        <v>324</v>
      </c>
      <c r="C483" t="s">
        <v>493</v>
      </c>
      <c r="D483" t="str">
        <f>"061701"</f>
        <v>061701</v>
      </c>
      <c r="E483">
        <v>28611</v>
      </c>
      <c r="F483">
        <v>16197</v>
      </c>
      <c r="G483" s="1">
        <v>0.56610000000000005</v>
      </c>
      <c r="H483">
        <v>21</v>
      </c>
      <c r="I483">
        <v>28479</v>
      </c>
    </row>
    <row r="484" spans="1:9" x14ac:dyDescent="0.35">
      <c r="A484" t="s">
        <v>9</v>
      </c>
      <c r="B484" t="s">
        <v>324</v>
      </c>
      <c r="C484" t="s">
        <v>494</v>
      </c>
      <c r="D484" t="str">
        <f>"061702"</f>
        <v>061702</v>
      </c>
      <c r="E484">
        <v>7870</v>
      </c>
      <c r="F484">
        <v>4409</v>
      </c>
      <c r="G484" s="1">
        <v>0.56020000000000003</v>
      </c>
      <c r="H484">
        <v>10</v>
      </c>
      <c r="I484">
        <v>7841</v>
      </c>
    </row>
    <row r="485" spans="1:9" x14ac:dyDescent="0.35">
      <c r="A485" t="s">
        <v>9</v>
      </c>
      <c r="B485" t="s">
        <v>324</v>
      </c>
      <c r="C485" t="s">
        <v>495</v>
      </c>
      <c r="D485" t="str">
        <f>"061703"</f>
        <v>061703</v>
      </c>
      <c r="E485">
        <v>8104</v>
      </c>
      <c r="F485">
        <v>4573</v>
      </c>
      <c r="G485" s="1">
        <v>0.56430000000000002</v>
      </c>
      <c r="H485">
        <v>17</v>
      </c>
      <c r="I485">
        <v>8029</v>
      </c>
    </row>
    <row r="486" spans="1:9" x14ac:dyDescent="0.35">
      <c r="A486" t="s">
        <v>9</v>
      </c>
      <c r="B486" t="s">
        <v>324</v>
      </c>
      <c r="C486" t="s">
        <v>496</v>
      </c>
      <c r="D486" t="str">
        <f>"061704"</f>
        <v>061704</v>
      </c>
      <c r="E486">
        <v>2658</v>
      </c>
      <c r="F486">
        <v>1408</v>
      </c>
      <c r="G486" s="1">
        <v>0.52969999999999995</v>
      </c>
      <c r="H486">
        <v>5</v>
      </c>
      <c r="I486">
        <v>2655</v>
      </c>
    </row>
    <row r="487" spans="1:9" x14ac:dyDescent="0.35">
      <c r="A487" t="s">
        <v>9</v>
      </c>
      <c r="B487" t="s">
        <v>324</v>
      </c>
      <c r="C487" t="s">
        <v>497</v>
      </c>
      <c r="D487" t="str">
        <f>"061705"</f>
        <v>061705</v>
      </c>
      <c r="E487">
        <v>6708</v>
      </c>
      <c r="F487">
        <v>3356</v>
      </c>
      <c r="G487" s="1">
        <v>0.50029999999999997</v>
      </c>
      <c r="H487">
        <v>6</v>
      </c>
      <c r="I487">
        <v>6704</v>
      </c>
    </row>
    <row r="488" spans="1:9" x14ac:dyDescent="0.35">
      <c r="A488" t="s">
        <v>9</v>
      </c>
      <c r="B488" t="s">
        <v>324</v>
      </c>
      <c r="C488" t="s">
        <v>498</v>
      </c>
      <c r="D488" t="str">
        <f>"061801"</f>
        <v>061801</v>
      </c>
      <c r="E488">
        <v>13989</v>
      </c>
      <c r="F488">
        <v>8133</v>
      </c>
      <c r="G488" s="1">
        <v>0.58140000000000003</v>
      </c>
      <c r="H488">
        <v>11</v>
      </c>
      <c r="I488">
        <v>13909</v>
      </c>
    </row>
    <row r="489" spans="1:9" x14ac:dyDescent="0.35">
      <c r="A489" t="s">
        <v>9</v>
      </c>
      <c r="B489" t="s">
        <v>324</v>
      </c>
      <c r="C489" t="s">
        <v>499</v>
      </c>
      <c r="D489" t="str">
        <f>"061802"</f>
        <v>061802</v>
      </c>
      <c r="E489">
        <v>2446</v>
      </c>
      <c r="F489">
        <v>1164</v>
      </c>
      <c r="G489" s="1">
        <v>0.47589999999999999</v>
      </c>
      <c r="H489">
        <v>4</v>
      </c>
      <c r="I489">
        <v>2432</v>
      </c>
    </row>
    <row r="490" spans="1:9" x14ac:dyDescent="0.35">
      <c r="A490" t="s">
        <v>9</v>
      </c>
      <c r="B490" t="s">
        <v>324</v>
      </c>
      <c r="C490" t="s">
        <v>500</v>
      </c>
      <c r="D490" t="str">
        <f>"061803"</f>
        <v>061803</v>
      </c>
      <c r="E490">
        <v>2623</v>
      </c>
      <c r="F490">
        <v>1422</v>
      </c>
      <c r="G490" s="1">
        <v>0.54210000000000003</v>
      </c>
      <c r="H490">
        <v>5</v>
      </c>
      <c r="I490">
        <v>2598</v>
      </c>
    </row>
    <row r="491" spans="1:9" x14ac:dyDescent="0.35">
      <c r="A491" t="s">
        <v>9</v>
      </c>
      <c r="B491" t="s">
        <v>324</v>
      </c>
      <c r="C491" t="s">
        <v>501</v>
      </c>
      <c r="D491" t="str">
        <f>"061804"</f>
        <v>061804</v>
      </c>
      <c r="E491">
        <v>2506</v>
      </c>
      <c r="F491">
        <v>1416</v>
      </c>
      <c r="G491" s="1">
        <v>0.56499999999999995</v>
      </c>
      <c r="H491">
        <v>9</v>
      </c>
      <c r="I491">
        <v>2486</v>
      </c>
    </row>
    <row r="492" spans="1:9" x14ac:dyDescent="0.35">
      <c r="A492" t="s">
        <v>9</v>
      </c>
      <c r="B492" t="s">
        <v>324</v>
      </c>
      <c r="C492" t="s">
        <v>502</v>
      </c>
      <c r="D492" t="str">
        <f>"061805"</f>
        <v>061805</v>
      </c>
      <c r="E492">
        <v>4622</v>
      </c>
      <c r="F492">
        <v>2325</v>
      </c>
      <c r="G492" s="1">
        <v>0.503</v>
      </c>
      <c r="H492">
        <v>8</v>
      </c>
      <c r="I492">
        <v>4585</v>
      </c>
    </row>
    <row r="493" spans="1:9" x14ac:dyDescent="0.35">
      <c r="A493" t="s">
        <v>9</v>
      </c>
      <c r="B493" t="s">
        <v>324</v>
      </c>
      <c r="C493" t="s">
        <v>503</v>
      </c>
      <c r="D493" t="str">
        <f>"061806"</f>
        <v>061806</v>
      </c>
      <c r="E493">
        <v>4489</v>
      </c>
      <c r="F493">
        <v>2424</v>
      </c>
      <c r="G493" s="1">
        <v>0.54</v>
      </c>
      <c r="H493">
        <v>11</v>
      </c>
      <c r="I493">
        <v>4471</v>
      </c>
    </row>
    <row r="494" spans="1:9" x14ac:dyDescent="0.35">
      <c r="A494" t="s">
        <v>9</v>
      </c>
      <c r="B494" t="s">
        <v>324</v>
      </c>
      <c r="C494" t="s">
        <v>504</v>
      </c>
      <c r="D494" t="str">
        <f>"061807"</f>
        <v>061807</v>
      </c>
      <c r="E494">
        <v>3870</v>
      </c>
      <c r="F494">
        <v>2172</v>
      </c>
      <c r="G494" s="1">
        <v>0.56120000000000003</v>
      </c>
      <c r="H494">
        <v>10</v>
      </c>
      <c r="I494">
        <v>3836</v>
      </c>
    </row>
    <row r="495" spans="1:9" x14ac:dyDescent="0.35">
      <c r="A495" t="s">
        <v>9</v>
      </c>
      <c r="B495" t="s">
        <v>324</v>
      </c>
      <c r="C495" t="s">
        <v>505</v>
      </c>
      <c r="D495" t="str">
        <f>"061808"</f>
        <v>061808</v>
      </c>
      <c r="E495">
        <v>5734</v>
      </c>
      <c r="F495">
        <v>3016</v>
      </c>
      <c r="G495" s="1">
        <v>0.52600000000000002</v>
      </c>
      <c r="H495">
        <v>7</v>
      </c>
      <c r="I495">
        <v>5698</v>
      </c>
    </row>
    <row r="496" spans="1:9" x14ac:dyDescent="0.35">
      <c r="A496" t="s">
        <v>9</v>
      </c>
      <c r="B496" t="s">
        <v>324</v>
      </c>
      <c r="C496" t="s">
        <v>506</v>
      </c>
      <c r="D496" t="str">
        <f>"061809"</f>
        <v>061809</v>
      </c>
      <c r="E496">
        <v>2996</v>
      </c>
      <c r="F496">
        <v>1685</v>
      </c>
      <c r="G496" s="1">
        <v>0.56240000000000001</v>
      </c>
      <c r="H496">
        <v>5</v>
      </c>
      <c r="I496">
        <v>2971</v>
      </c>
    </row>
    <row r="497" spans="1:9" x14ac:dyDescent="0.35">
      <c r="A497" t="s">
        <v>9</v>
      </c>
      <c r="B497" t="s">
        <v>324</v>
      </c>
      <c r="C497" t="s">
        <v>507</v>
      </c>
      <c r="D497" t="str">
        <f>"061810"</f>
        <v>061810</v>
      </c>
      <c r="E497">
        <v>2895</v>
      </c>
      <c r="F497">
        <v>1503</v>
      </c>
      <c r="G497" s="1">
        <v>0.51919999999999999</v>
      </c>
      <c r="H497">
        <v>7</v>
      </c>
      <c r="I497">
        <v>2879</v>
      </c>
    </row>
    <row r="498" spans="1:9" x14ac:dyDescent="0.35">
      <c r="A498" t="s">
        <v>9</v>
      </c>
      <c r="B498" t="s">
        <v>324</v>
      </c>
      <c r="C498" t="s">
        <v>508</v>
      </c>
      <c r="D498" t="str">
        <f>"061811"</f>
        <v>061811</v>
      </c>
      <c r="E498">
        <v>8632</v>
      </c>
      <c r="F498">
        <v>4641</v>
      </c>
      <c r="G498" s="1">
        <v>0.53769999999999996</v>
      </c>
      <c r="H498">
        <v>14</v>
      </c>
      <c r="I498">
        <v>8585</v>
      </c>
    </row>
    <row r="499" spans="1:9" x14ac:dyDescent="0.35">
      <c r="A499" t="s">
        <v>9</v>
      </c>
      <c r="B499" t="s">
        <v>324</v>
      </c>
      <c r="C499" t="s">
        <v>509</v>
      </c>
      <c r="D499" t="str">
        <f>"061812"</f>
        <v>061812</v>
      </c>
      <c r="E499">
        <v>4095</v>
      </c>
      <c r="F499">
        <v>2101</v>
      </c>
      <c r="G499" s="1">
        <v>0.5131</v>
      </c>
      <c r="H499">
        <v>8</v>
      </c>
      <c r="I499">
        <v>4083</v>
      </c>
    </row>
    <row r="500" spans="1:9" x14ac:dyDescent="0.35">
      <c r="A500" t="s">
        <v>9</v>
      </c>
      <c r="B500" t="s">
        <v>324</v>
      </c>
      <c r="C500" t="s">
        <v>510</v>
      </c>
      <c r="D500" t="str">
        <f>"061813"</f>
        <v>061813</v>
      </c>
      <c r="E500">
        <v>3388</v>
      </c>
      <c r="F500">
        <v>1625</v>
      </c>
      <c r="G500" s="1">
        <v>0.47960000000000003</v>
      </c>
      <c r="H500">
        <v>10</v>
      </c>
      <c r="I500">
        <v>3359</v>
      </c>
    </row>
    <row r="501" spans="1:9" x14ac:dyDescent="0.35">
      <c r="A501" t="s">
        <v>9</v>
      </c>
      <c r="B501" t="s">
        <v>324</v>
      </c>
      <c r="C501" t="s">
        <v>511</v>
      </c>
      <c r="D501" t="str">
        <f>"061901"</f>
        <v>061901</v>
      </c>
      <c r="E501">
        <v>9184</v>
      </c>
      <c r="F501">
        <v>4871</v>
      </c>
      <c r="G501" s="1">
        <v>0.53039999999999998</v>
      </c>
      <c r="H501">
        <v>5</v>
      </c>
      <c r="I501">
        <v>9071</v>
      </c>
    </row>
    <row r="502" spans="1:9" x14ac:dyDescent="0.35">
      <c r="A502" t="s">
        <v>9</v>
      </c>
      <c r="B502" t="s">
        <v>324</v>
      </c>
      <c r="C502" t="s">
        <v>512</v>
      </c>
      <c r="D502" t="str">
        <f>"061902"</f>
        <v>061902</v>
      </c>
      <c r="E502">
        <v>2151</v>
      </c>
      <c r="F502">
        <v>1211</v>
      </c>
      <c r="G502" s="1">
        <v>0.56299999999999994</v>
      </c>
      <c r="H502">
        <v>5</v>
      </c>
      <c r="I502">
        <v>2126</v>
      </c>
    </row>
    <row r="503" spans="1:9" x14ac:dyDescent="0.35">
      <c r="A503" t="s">
        <v>9</v>
      </c>
      <c r="B503" t="s">
        <v>324</v>
      </c>
      <c r="C503" t="s">
        <v>513</v>
      </c>
      <c r="D503" t="str">
        <f>"061903"</f>
        <v>061903</v>
      </c>
      <c r="E503">
        <v>2738</v>
      </c>
      <c r="F503">
        <v>1481</v>
      </c>
      <c r="G503" s="1">
        <v>0.54090000000000005</v>
      </c>
      <c r="H503">
        <v>4</v>
      </c>
      <c r="I503">
        <v>2719</v>
      </c>
    </row>
    <row r="504" spans="1:9" x14ac:dyDescent="0.35">
      <c r="A504" t="s">
        <v>9</v>
      </c>
      <c r="B504" t="s">
        <v>324</v>
      </c>
      <c r="C504" t="s">
        <v>514</v>
      </c>
      <c r="D504" t="str">
        <f>"061904"</f>
        <v>061904</v>
      </c>
      <c r="E504">
        <v>1566</v>
      </c>
      <c r="F504">
        <v>955</v>
      </c>
      <c r="G504" s="1">
        <v>0.60980000000000001</v>
      </c>
      <c r="H504">
        <v>4</v>
      </c>
      <c r="I504">
        <v>1556</v>
      </c>
    </row>
    <row r="505" spans="1:9" x14ac:dyDescent="0.35">
      <c r="A505" t="s">
        <v>9</v>
      </c>
      <c r="B505" t="s">
        <v>324</v>
      </c>
      <c r="C505" t="s">
        <v>515</v>
      </c>
      <c r="D505" t="str">
        <f>"061905"</f>
        <v>061905</v>
      </c>
      <c r="E505">
        <v>3223</v>
      </c>
      <c r="F505">
        <v>1990</v>
      </c>
      <c r="G505" s="1">
        <v>0.61739999999999995</v>
      </c>
      <c r="H505">
        <v>5</v>
      </c>
      <c r="I505">
        <v>3179</v>
      </c>
    </row>
    <row r="506" spans="1:9" x14ac:dyDescent="0.35">
      <c r="A506" t="s">
        <v>9</v>
      </c>
      <c r="B506" t="s">
        <v>324</v>
      </c>
      <c r="C506" t="s">
        <v>516</v>
      </c>
      <c r="D506" t="str">
        <f>"061906"</f>
        <v>061906</v>
      </c>
      <c r="E506">
        <v>4428</v>
      </c>
      <c r="F506">
        <v>2191</v>
      </c>
      <c r="G506" s="1">
        <v>0.49480000000000002</v>
      </c>
      <c r="H506">
        <v>11</v>
      </c>
      <c r="I506">
        <v>4295</v>
      </c>
    </row>
    <row r="507" spans="1:9" x14ac:dyDescent="0.35">
      <c r="A507" t="s">
        <v>9</v>
      </c>
      <c r="B507" t="s">
        <v>324</v>
      </c>
      <c r="C507" t="s">
        <v>517</v>
      </c>
      <c r="D507" t="str">
        <f>"061907"</f>
        <v>061907</v>
      </c>
      <c r="E507">
        <v>2970</v>
      </c>
      <c r="F507">
        <v>1582</v>
      </c>
      <c r="G507" s="1">
        <v>0.53269999999999995</v>
      </c>
      <c r="H507">
        <v>8</v>
      </c>
      <c r="I507">
        <v>2949</v>
      </c>
    </row>
    <row r="508" spans="1:9" x14ac:dyDescent="0.35">
      <c r="A508" t="s">
        <v>9</v>
      </c>
      <c r="B508" t="s">
        <v>324</v>
      </c>
      <c r="C508" t="s">
        <v>518</v>
      </c>
      <c r="D508" t="str">
        <f>"061908"</f>
        <v>061908</v>
      </c>
      <c r="E508">
        <v>1901</v>
      </c>
      <c r="F508">
        <v>1000</v>
      </c>
      <c r="G508" s="1">
        <v>0.52600000000000002</v>
      </c>
      <c r="H508">
        <v>6</v>
      </c>
      <c r="I508">
        <v>1896</v>
      </c>
    </row>
    <row r="509" spans="1:9" x14ac:dyDescent="0.35">
      <c r="A509" t="s">
        <v>9</v>
      </c>
      <c r="B509" t="s">
        <v>324</v>
      </c>
      <c r="C509" t="s">
        <v>445</v>
      </c>
      <c r="D509" t="str">
        <f>"062001"</f>
        <v>062001</v>
      </c>
      <c r="E509">
        <v>3637</v>
      </c>
      <c r="F509">
        <v>1987</v>
      </c>
      <c r="G509" s="1">
        <v>0.54630000000000001</v>
      </c>
      <c r="H509">
        <v>7</v>
      </c>
      <c r="I509">
        <v>3623</v>
      </c>
    </row>
    <row r="510" spans="1:9" x14ac:dyDescent="0.35">
      <c r="A510" t="s">
        <v>9</v>
      </c>
      <c r="B510" t="s">
        <v>324</v>
      </c>
      <c r="C510" t="s">
        <v>519</v>
      </c>
      <c r="D510" t="str">
        <f>"062002"</f>
        <v>062002</v>
      </c>
      <c r="E510">
        <v>3020</v>
      </c>
      <c r="F510">
        <v>1543</v>
      </c>
      <c r="G510" s="1">
        <v>0.51090000000000002</v>
      </c>
      <c r="H510">
        <v>6</v>
      </c>
      <c r="I510">
        <v>3016</v>
      </c>
    </row>
    <row r="511" spans="1:9" x14ac:dyDescent="0.35">
      <c r="A511" t="s">
        <v>9</v>
      </c>
      <c r="B511" t="s">
        <v>324</v>
      </c>
      <c r="C511" t="s">
        <v>520</v>
      </c>
      <c r="D511" t="str">
        <f>"062003"</f>
        <v>062003</v>
      </c>
      <c r="E511">
        <v>3740</v>
      </c>
      <c r="F511">
        <v>2234</v>
      </c>
      <c r="G511" s="1">
        <v>0.59730000000000005</v>
      </c>
      <c r="H511">
        <v>10</v>
      </c>
      <c r="I511">
        <v>3720</v>
      </c>
    </row>
    <row r="512" spans="1:9" x14ac:dyDescent="0.35">
      <c r="A512" t="s">
        <v>9</v>
      </c>
      <c r="B512" t="s">
        <v>324</v>
      </c>
      <c r="C512" t="s">
        <v>521</v>
      </c>
      <c r="D512" t="str">
        <f>"062004"</f>
        <v>062004</v>
      </c>
      <c r="E512">
        <v>5493</v>
      </c>
      <c r="F512">
        <v>3324</v>
      </c>
      <c r="G512" s="1">
        <v>0.60509999999999997</v>
      </c>
      <c r="H512">
        <v>11</v>
      </c>
      <c r="I512">
        <v>5309</v>
      </c>
    </row>
    <row r="513" spans="1:9" x14ac:dyDescent="0.35">
      <c r="A513" t="s">
        <v>9</v>
      </c>
      <c r="B513" t="s">
        <v>324</v>
      </c>
      <c r="C513" t="s">
        <v>522</v>
      </c>
      <c r="D513" t="str">
        <f>"062005"</f>
        <v>062005</v>
      </c>
      <c r="E513">
        <v>4686</v>
      </c>
      <c r="F513">
        <v>2653</v>
      </c>
      <c r="G513" s="1">
        <v>0.56620000000000004</v>
      </c>
      <c r="H513">
        <v>8</v>
      </c>
      <c r="I513">
        <v>4648</v>
      </c>
    </row>
    <row r="514" spans="1:9" x14ac:dyDescent="0.35">
      <c r="A514" t="s">
        <v>9</v>
      </c>
      <c r="B514" t="s">
        <v>324</v>
      </c>
      <c r="C514" t="s">
        <v>523</v>
      </c>
      <c r="D514" t="str">
        <f>"062006"</f>
        <v>062006</v>
      </c>
      <c r="E514">
        <v>4240</v>
      </c>
      <c r="F514">
        <v>2147</v>
      </c>
      <c r="G514" s="1">
        <v>0.50639999999999996</v>
      </c>
      <c r="H514">
        <v>9</v>
      </c>
      <c r="I514">
        <v>4227</v>
      </c>
    </row>
    <row r="515" spans="1:9" x14ac:dyDescent="0.35">
      <c r="A515" t="s">
        <v>9</v>
      </c>
      <c r="B515" t="s">
        <v>324</v>
      </c>
      <c r="C515" t="s">
        <v>524</v>
      </c>
      <c r="D515" t="str">
        <f>"062007"</f>
        <v>062007</v>
      </c>
      <c r="E515">
        <v>4223</v>
      </c>
      <c r="F515">
        <v>2101</v>
      </c>
      <c r="G515" s="1">
        <v>0.4975</v>
      </c>
      <c r="H515">
        <v>7</v>
      </c>
      <c r="I515">
        <v>4191</v>
      </c>
    </row>
    <row r="516" spans="1:9" x14ac:dyDescent="0.35">
      <c r="A516" t="s">
        <v>9</v>
      </c>
      <c r="B516" t="s">
        <v>324</v>
      </c>
      <c r="C516" t="s">
        <v>525</v>
      </c>
      <c r="D516" t="str">
        <f>"062008"</f>
        <v>062008</v>
      </c>
      <c r="E516">
        <v>4146</v>
      </c>
      <c r="F516">
        <v>2252</v>
      </c>
      <c r="G516" s="1">
        <v>0.54320000000000002</v>
      </c>
      <c r="H516">
        <v>10</v>
      </c>
      <c r="I516">
        <v>4113</v>
      </c>
    </row>
    <row r="517" spans="1:9" x14ac:dyDescent="0.35">
      <c r="A517" t="s">
        <v>9</v>
      </c>
      <c r="B517" t="s">
        <v>324</v>
      </c>
      <c r="C517" t="s">
        <v>526</v>
      </c>
      <c r="D517" t="str">
        <f>"062009"</f>
        <v>062009</v>
      </c>
      <c r="E517">
        <v>5055</v>
      </c>
      <c r="F517">
        <v>2774</v>
      </c>
      <c r="G517" s="1">
        <v>0.54879999999999995</v>
      </c>
      <c r="H517">
        <v>10</v>
      </c>
      <c r="I517">
        <v>5049</v>
      </c>
    </row>
    <row r="518" spans="1:9" x14ac:dyDescent="0.35">
      <c r="A518" t="s">
        <v>9</v>
      </c>
      <c r="B518" t="s">
        <v>324</v>
      </c>
      <c r="C518" t="s">
        <v>527</v>
      </c>
      <c r="D518" t="str">
        <f>"062010"</f>
        <v>062010</v>
      </c>
      <c r="E518">
        <v>3890</v>
      </c>
      <c r="F518">
        <v>2106</v>
      </c>
      <c r="G518" s="1">
        <v>0.54139999999999999</v>
      </c>
      <c r="H518">
        <v>6</v>
      </c>
      <c r="I518">
        <v>3872</v>
      </c>
    </row>
    <row r="519" spans="1:9" x14ac:dyDescent="0.35">
      <c r="A519" t="s">
        <v>9</v>
      </c>
      <c r="B519" t="s">
        <v>324</v>
      </c>
      <c r="C519" t="s">
        <v>528</v>
      </c>
      <c r="D519" t="str">
        <f>"062011"</f>
        <v>062011</v>
      </c>
      <c r="E519">
        <v>3946</v>
      </c>
      <c r="F519">
        <v>2193</v>
      </c>
      <c r="G519" s="1">
        <v>0.55579999999999996</v>
      </c>
      <c r="H519">
        <v>8</v>
      </c>
      <c r="I519">
        <v>3917</v>
      </c>
    </row>
    <row r="520" spans="1:9" x14ac:dyDescent="0.35">
      <c r="A520" t="s">
        <v>9</v>
      </c>
      <c r="B520" t="s">
        <v>324</v>
      </c>
      <c r="C520" t="s">
        <v>529</v>
      </c>
      <c r="D520" t="str">
        <f>"062012"</f>
        <v>062012</v>
      </c>
      <c r="E520">
        <v>3370</v>
      </c>
      <c r="F520">
        <v>1748</v>
      </c>
      <c r="G520" s="1">
        <v>0.51870000000000005</v>
      </c>
      <c r="H520">
        <v>6</v>
      </c>
      <c r="I520">
        <v>3362</v>
      </c>
    </row>
    <row r="521" spans="1:9" x14ac:dyDescent="0.35">
      <c r="A521" t="s">
        <v>9</v>
      </c>
      <c r="B521" t="s">
        <v>324</v>
      </c>
      <c r="C521" t="s">
        <v>530</v>
      </c>
      <c r="D521" t="str">
        <f>"062013"</f>
        <v>062013</v>
      </c>
      <c r="E521">
        <v>8432</v>
      </c>
      <c r="F521">
        <v>4378</v>
      </c>
      <c r="G521" s="1">
        <v>0.51919999999999999</v>
      </c>
      <c r="H521">
        <v>12</v>
      </c>
      <c r="I521">
        <v>8384</v>
      </c>
    </row>
    <row r="522" spans="1:9" x14ac:dyDescent="0.35">
      <c r="A522" t="s">
        <v>9</v>
      </c>
      <c r="B522" t="s">
        <v>324</v>
      </c>
      <c r="C522" t="s">
        <v>531</v>
      </c>
      <c r="D522" t="str">
        <f>"062014"</f>
        <v>062014</v>
      </c>
      <c r="E522">
        <v>17872</v>
      </c>
      <c r="F522">
        <v>10347</v>
      </c>
      <c r="G522" s="1">
        <v>0.57899999999999996</v>
      </c>
      <c r="H522">
        <v>25</v>
      </c>
      <c r="I522">
        <v>17800</v>
      </c>
    </row>
    <row r="523" spans="1:9" x14ac:dyDescent="0.35">
      <c r="A523" t="s">
        <v>9</v>
      </c>
      <c r="B523" t="s">
        <v>324</v>
      </c>
      <c r="C523" t="s">
        <v>532</v>
      </c>
      <c r="D523" t="str">
        <f>"062015"</f>
        <v>062015</v>
      </c>
      <c r="E523">
        <v>5147</v>
      </c>
      <c r="F523">
        <v>2746</v>
      </c>
      <c r="G523" s="1">
        <v>0.53349999999999997</v>
      </c>
      <c r="H523">
        <v>9</v>
      </c>
      <c r="I523">
        <v>5049</v>
      </c>
    </row>
    <row r="524" spans="1:9" x14ac:dyDescent="0.35">
      <c r="A524" t="s">
        <v>9</v>
      </c>
      <c r="B524" t="s">
        <v>324</v>
      </c>
      <c r="C524" t="s">
        <v>533</v>
      </c>
      <c r="D524" t="str">
        <f>"066101"</f>
        <v>066101</v>
      </c>
      <c r="E524">
        <v>41451</v>
      </c>
      <c r="F524">
        <v>23399</v>
      </c>
      <c r="G524" s="1">
        <v>0.5645</v>
      </c>
      <c r="H524">
        <v>27</v>
      </c>
      <c r="I524">
        <v>40708</v>
      </c>
    </row>
    <row r="525" spans="1:9" x14ac:dyDescent="0.35">
      <c r="A525" t="s">
        <v>9</v>
      </c>
      <c r="B525" t="s">
        <v>324</v>
      </c>
      <c r="C525" t="s">
        <v>534</v>
      </c>
      <c r="D525" t="str">
        <f>"066201"</f>
        <v>066201</v>
      </c>
      <c r="E525">
        <v>44280</v>
      </c>
      <c r="F525">
        <v>24643</v>
      </c>
      <c r="G525" s="1">
        <v>0.55649999999999999</v>
      </c>
      <c r="H525">
        <v>34</v>
      </c>
      <c r="I525">
        <v>44073</v>
      </c>
    </row>
    <row r="526" spans="1:9" x14ac:dyDescent="0.35">
      <c r="A526" t="s">
        <v>9</v>
      </c>
      <c r="B526" t="s">
        <v>324</v>
      </c>
      <c r="C526" t="s">
        <v>535</v>
      </c>
      <c r="D526" t="str">
        <f>"066301"</f>
        <v>066301</v>
      </c>
      <c r="E526">
        <v>250733</v>
      </c>
      <c r="F526">
        <v>133410</v>
      </c>
      <c r="G526" s="1">
        <v>0.53210000000000002</v>
      </c>
      <c r="H526">
        <v>190</v>
      </c>
      <c r="I526">
        <v>248665</v>
      </c>
    </row>
    <row r="527" spans="1:9" x14ac:dyDescent="0.35">
      <c r="A527" t="s">
        <v>9</v>
      </c>
      <c r="B527" t="s">
        <v>324</v>
      </c>
      <c r="C527" t="s">
        <v>536</v>
      </c>
      <c r="D527" t="str">
        <f>"066401"</f>
        <v>066401</v>
      </c>
      <c r="E527">
        <v>44649</v>
      </c>
      <c r="F527">
        <v>24497</v>
      </c>
      <c r="G527" s="1">
        <v>0.54869999999999997</v>
      </c>
      <c r="H527">
        <v>30</v>
      </c>
      <c r="I527">
        <v>44119</v>
      </c>
    </row>
    <row r="528" spans="1:9" x14ac:dyDescent="0.35">
      <c r="A528" t="s">
        <v>9</v>
      </c>
      <c r="B528" t="s">
        <v>537</v>
      </c>
      <c r="C528" t="s">
        <v>538</v>
      </c>
      <c r="D528" t="str">
        <f>"080101"</f>
        <v>080101</v>
      </c>
      <c r="E528">
        <v>12600</v>
      </c>
      <c r="F528">
        <v>7372</v>
      </c>
      <c r="G528" s="1">
        <v>0.58509999999999995</v>
      </c>
      <c r="H528">
        <v>15</v>
      </c>
      <c r="I528">
        <v>12490</v>
      </c>
    </row>
    <row r="529" spans="1:9" x14ac:dyDescent="0.35">
      <c r="A529" t="s">
        <v>9</v>
      </c>
      <c r="B529" t="s">
        <v>537</v>
      </c>
      <c r="C529" t="s">
        <v>539</v>
      </c>
      <c r="D529" t="str">
        <f>"080102"</f>
        <v>080102</v>
      </c>
      <c r="E529">
        <v>5288</v>
      </c>
      <c r="F529">
        <v>3099</v>
      </c>
      <c r="G529" s="1">
        <v>0.58599999999999997</v>
      </c>
      <c r="H529">
        <v>6</v>
      </c>
      <c r="I529">
        <v>5280</v>
      </c>
    </row>
    <row r="530" spans="1:9" x14ac:dyDescent="0.35">
      <c r="A530" t="s">
        <v>9</v>
      </c>
      <c r="B530" t="s">
        <v>537</v>
      </c>
      <c r="C530" t="s">
        <v>540</v>
      </c>
      <c r="D530" t="str">
        <f>"080103"</f>
        <v>080103</v>
      </c>
      <c r="E530">
        <v>7902</v>
      </c>
      <c r="F530">
        <v>4750</v>
      </c>
      <c r="G530" s="1">
        <v>0.60109999999999997</v>
      </c>
      <c r="H530">
        <v>8</v>
      </c>
      <c r="I530">
        <v>7833</v>
      </c>
    </row>
    <row r="531" spans="1:9" x14ac:dyDescent="0.35">
      <c r="A531" t="s">
        <v>9</v>
      </c>
      <c r="B531" t="s">
        <v>537</v>
      </c>
      <c r="C531" t="s">
        <v>541</v>
      </c>
      <c r="D531" t="str">
        <f>"080104"</f>
        <v>080104</v>
      </c>
      <c r="E531">
        <v>6685</v>
      </c>
      <c r="F531">
        <v>4100</v>
      </c>
      <c r="G531" s="1">
        <v>0.61329999999999996</v>
      </c>
      <c r="H531">
        <v>9</v>
      </c>
      <c r="I531">
        <v>6626</v>
      </c>
    </row>
    <row r="532" spans="1:9" x14ac:dyDescent="0.35">
      <c r="A532" t="s">
        <v>9</v>
      </c>
      <c r="B532" t="s">
        <v>537</v>
      </c>
      <c r="C532" t="s">
        <v>542</v>
      </c>
      <c r="D532" t="str">
        <f>"080105"</f>
        <v>080105</v>
      </c>
      <c r="E532">
        <v>5308</v>
      </c>
      <c r="F532">
        <v>2875</v>
      </c>
      <c r="G532" s="1">
        <v>0.54159999999999997</v>
      </c>
      <c r="H532">
        <v>7</v>
      </c>
      <c r="I532">
        <v>5271</v>
      </c>
    </row>
    <row r="533" spans="1:9" x14ac:dyDescent="0.35">
      <c r="A533" t="s">
        <v>9</v>
      </c>
      <c r="B533" t="s">
        <v>537</v>
      </c>
      <c r="C533" t="s">
        <v>543</v>
      </c>
      <c r="D533" t="str">
        <f>"080106"</f>
        <v>080106</v>
      </c>
      <c r="E533">
        <v>6821</v>
      </c>
      <c r="F533">
        <v>3630</v>
      </c>
      <c r="G533" s="1">
        <v>0.53220000000000001</v>
      </c>
      <c r="H533">
        <v>8</v>
      </c>
      <c r="I533">
        <v>6790</v>
      </c>
    </row>
    <row r="534" spans="1:9" x14ac:dyDescent="0.35">
      <c r="A534" t="s">
        <v>9</v>
      </c>
      <c r="B534" t="s">
        <v>537</v>
      </c>
      <c r="C534" t="s">
        <v>544</v>
      </c>
      <c r="D534" t="str">
        <f>"080107"</f>
        <v>080107</v>
      </c>
      <c r="E534">
        <v>9259</v>
      </c>
      <c r="F534">
        <v>4877</v>
      </c>
      <c r="G534" s="1">
        <v>0.52669999999999995</v>
      </c>
      <c r="H534">
        <v>13</v>
      </c>
      <c r="I534">
        <v>9146</v>
      </c>
    </row>
    <row r="535" spans="1:9" x14ac:dyDescent="0.35">
      <c r="A535" t="s">
        <v>9</v>
      </c>
      <c r="B535" t="s">
        <v>537</v>
      </c>
      <c r="C535" t="s">
        <v>545</v>
      </c>
      <c r="D535" t="str">
        <f>"080201"</f>
        <v>080201</v>
      </c>
      <c r="E535">
        <v>11991</v>
      </c>
      <c r="F535">
        <v>6348</v>
      </c>
      <c r="G535" s="1">
        <v>0.52939999999999998</v>
      </c>
      <c r="H535">
        <v>9</v>
      </c>
      <c r="I535">
        <v>11777</v>
      </c>
    </row>
    <row r="536" spans="1:9" x14ac:dyDescent="0.35">
      <c r="A536" t="s">
        <v>9</v>
      </c>
      <c r="B536" t="s">
        <v>537</v>
      </c>
      <c r="C536" t="s">
        <v>546</v>
      </c>
      <c r="D536" t="str">
        <f>"080202"</f>
        <v>080202</v>
      </c>
      <c r="E536">
        <v>2391</v>
      </c>
      <c r="F536">
        <v>1254</v>
      </c>
      <c r="G536" s="1">
        <v>0.52449999999999997</v>
      </c>
      <c r="H536">
        <v>5</v>
      </c>
      <c r="I536">
        <v>2358</v>
      </c>
    </row>
    <row r="537" spans="1:9" x14ac:dyDescent="0.35">
      <c r="A537" t="s">
        <v>9</v>
      </c>
      <c r="B537" t="s">
        <v>537</v>
      </c>
      <c r="C537" t="s">
        <v>547</v>
      </c>
      <c r="D537" t="str">
        <f>"080203"</f>
        <v>080203</v>
      </c>
      <c r="E537">
        <v>1832</v>
      </c>
      <c r="F537">
        <v>913</v>
      </c>
      <c r="G537" s="1">
        <v>0.49840000000000001</v>
      </c>
      <c r="H537">
        <v>3</v>
      </c>
      <c r="I537">
        <v>1806</v>
      </c>
    </row>
    <row r="538" spans="1:9" x14ac:dyDescent="0.35">
      <c r="A538" t="s">
        <v>9</v>
      </c>
      <c r="B538" t="s">
        <v>537</v>
      </c>
      <c r="C538" t="s">
        <v>548</v>
      </c>
      <c r="D538" t="str">
        <f>"080204"</f>
        <v>080204</v>
      </c>
      <c r="E538">
        <v>3766</v>
      </c>
      <c r="F538">
        <v>2030</v>
      </c>
      <c r="G538" s="1">
        <v>0.53900000000000003</v>
      </c>
      <c r="H538">
        <v>10</v>
      </c>
      <c r="I538">
        <v>3755</v>
      </c>
    </row>
    <row r="539" spans="1:9" x14ac:dyDescent="0.35">
      <c r="A539" t="s">
        <v>9</v>
      </c>
      <c r="B539" t="s">
        <v>537</v>
      </c>
      <c r="C539" t="s">
        <v>549</v>
      </c>
      <c r="D539" t="str">
        <f>"080205"</f>
        <v>080205</v>
      </c>
      <c r="E539">
        <v>5553</v>
      </c>
      <c r="F539">
        <v>2813</v>
      </c>
      <c r="G539" s="1">
        <v>0.50660000000000005</v>
      </c>
      <c r="H539">
        <v>12</v>
      </c>
      <c r="I539">
        <v>5521</v>
      </c>
    </row>
    <row r="540" spans="1:9" x14ac:dyDescent="0.35">
      <c r="A540" t="s">
        <v>9</v>
      </c>
      <c r="B540" t="s">
        <v>537</v>
      </c>
      <c r="C540" t="s">
        <v>550</v>
      </c>
      <c r="D540" t="str">
        <f>"080206"</f>
        <v>080206</v>
      </c>
      <c r="E540">
        <v>12958</v>
      </c>
      <c r="F540">
        <v>7494</v>
      </c>
      <c r="G540" s="1">
        <v>0.57830000000000004</v>
      </c>
      <c r="H540">
        <v>17</v>
      </c>
      <c r="I540">
        <v>12760</v>
      </c>
    </row>
    <row r="541" spans="1:9" x14ac:dyDescent="0.35">
      <c r="A541" t="s">
        <v>9</v>
      </c>
      <c r="B541" t="s">
        <v>537</v>
      </c>
      <c r="C541" t="s">
        <v>551</v>
      </c>
      <c r="D541" t="str">
        <f>"080207"</f>
        <v>080207</v>
      </c>
      <c r="E541">
        <v>2114</v>
      </c>
      <c r="F541">
        <v>1075</v>
      </c>
      <c r="G541" s="1">
        <v>0.50849999999999995</v>
      </c>
      <c r="H541">
        <v>5</v>
      </c>
      <c r="I541">
        <v>2087</v>
      </c>
    </row>
    <row r="542" spans="1:9" x14ac:dyDescent="0.35">
      <c r="A542" t="s">
        <v>9</v>
      </c>
      <c r="B542" t="s">
        <v>537</v>
      </c>
      <c r="C542" t="s">
        <v>552</v>
      </c>
      <c r="D542" t="str">
        <f>"080301"</f>
        <v>080301</v>
      </c>
      <c r="E542">
        <v>3183</v>
      </c>
      <c r="F542">
        <v>1636</v>
      </c>
      <c r="G542" s="1">
        <v>0.51400000000000001</v>
      </c>
      <c r="H542">
        <v>6</v>
      </c>
      <c r="I542">
        <v>3138</v>
      </c>
    </row>
    <row r="543" spans="1:9" x14ac:dyDescent="0.35">
      <c r="A543" t="s">
        <v>9</v>
      </c>
      <c r="B543" t="s">
        <v>537</v>
      </c>
      <c r="C543" t="s">
        <v>553</v>
      </c>
      <c r="D543" t="str">
        <f>"080302"</f>
        <v>080302</v>
      </c>
      <c r="E543">
        <v>17674</v>
      </c>
      <c r="F543">
        <v>9880</v>
      </c>
      <c r="G543" s="1">
        <v>0.55900000000000005</v>
      </c>
      <c r="H543">
        <v>20</v>
      </c>
      <c r="I543">
        <v>17357</v>
      </c>
    </row>
    <row r="544" spans="1:9" x14ac:dyDescent="0.35">
      <c r="A544" t="s">
        <v>9</v>
      </c>
      <c r="B544" t="s">
        <v>537</v>
      </c>
      <c r="C544" t="s">
        <v>554</v>
      </c>
      <c r="D544" t="str">
        <f>"080303"</f>
        <v>080303</v>
      </c>
      <c r="E544">
        <v>4147</v>
      </c>
      <c r="F544">
        <v>2149</v>
      </c>
      <c r="G544" s="1">
        <v>0.51819999999999999</v>
      </c>
      <c r="H544">
        <v>7</v>
      </c>
      <c r="I544">
        <v>4123</v>
      </c>
    </row>
    <row r="545" spans="1:9" x14ac:dyDescent="0.35">
      <c r="A545" t="s">
        <v>9</v>
      </c>
      <c r="B545" t="s">
        <v>537</v>
      </c>
      <c r="C545" t="s">
        <v>555</v>
      </c>
      <c r="D545" t="str">
        <f>"080304"</f>
        <v>080304</v>
      </c>
      <c r="E545">
        <v>3271</v>
      </c>
      <c r="F545">
        <v>1705</v>
      </c>
      <c r="G545" s="1">
        <v>0.5212</v>
      </c>
      <c r="H545">
        <v>7</v>
      </c>
      <c r="I545">
        <v>3211</v>
      </c>
    </row>
    <row r="546" spans="1:9" x14ac:dyDescent="0.35">
      <c r="A546" t="s">
        <v>9</v>
      </c>
      <c r="B546" t="s">
        <v>537</v>
      </c>
      <c r="C546" t="s">
        <v>556</v>
      </c>
      <c r="D546" t="str">
        <f>"080305"</f>
        <v>080305</v>
      </c>
      <c r="E546">
        <v>8672</v>
      </c>
      <c r="F546">
        <v>4746</v>
      </c>
      <c r="G546" s="1">
        <v>0.54730000000000001</v>
      </c>
      <c r="H546">
        <v>11</v>
      </c>
      <c r="I546">
        <v>8574</v>
      </c>
    </row>
    <row r="547" spans="1:9" x14ac:dyDescent="0.35">
      <c r="A547" t="s">
        <v>9</v>
      </c>
      <c r="B547" t="s">
        <v>537</v>
      </c>
      <c r="C547" t="s">
        <v>557</v>
      </c>
      <c r="D547" t="str">
        <f>"080306"</f>
        <v>080306</v>
      </c>
      <c r="E547">
        <v>4826</v>
      </c>
      <c r="F547">
        <v>2456</v>
      </c>
      <c r="G547" s="1">
        <v>0.50890000000000002</v>
      </c>
      <c r="H547">
        <v>9</v>
      </c>
      <c r="I547">
        <v>4707</v>
      </c>
    </row>
    <row r="548" spans="1:9" x14ac:dyDescent="0.35">
      <c r="A548" t="s">
        <v>9</v>
      </c>
      <c r="B548" t="s">
        <v>537</v>
      </c>
      <c r="C548" t="s">
        <v>558</v>
      </c>
      <c r="D548" t="str">
        <f>"080401"</f>
        <v>080401</v>
      </c>
      <c r="E548">
        <v>27009</v>
      </c>
      <c r="F548">
        <v>15062</v>
      </c>
      <c r="G548" s="1">
        <v>0.55769999999999997</v>
      </c>
      <c r="H548">
        <v>17</v>
      </c>
      <c r="I548">
        <v>26747</v>
      </c>
    </row>
    <row r="549" spans="1:9" x14ac:dyDescent="0.35">
      <c r="A549" t="s">
        <v>9</v>
      </c>
      <c r="B549" t="s">
        <v>537</v>
      </c>
      <c r="C549" t="s">
        <v>559</v>
      </c>
      <c r="D549" t="str">
        <f>"080402"</f>
        <v>080402</v>
      </c>
      <c r="E549">
        <v>4005</v>
      </c>
      <c r="F549">
        <v>2038</v>
      </c>
      <c r="G549" s="1">
        <v>0.50890000000000002</v>
      </c>
      <c r="H549">
        <v>4</v>
      </c>
      <c r="I549">
        <v>3999</v>
      </c>
    </row>
    <row r="550" spans="1:9" x14ac:dyDescent="0.35">
      <c r="A550" t="s">
        <v>9</v>
      </c>
      <c r="B550" t="s">
        <v>537</v>
      </c>
      <c r="C550" t="s">
        <v>560</v>
      </c>
      <c r="D550" t="str">
        <f>"080403"</f>
        <v>080403</v>
      </c>
      <c r="E550">
        <v>2569</v>
      </c>
      <c r="F550">
        <v>1376</v>
      </c>
      <c r="G550" s="1">
        <v>0.53559999999999997</v>
      </c>
      <c r="H550">
        <v>2</v>
      </c>
      <c r="I550">
        <v>2515</v>
      </c>
    </row>
    <row r="551" spans="1:9" x14ac:dyDescent="0.35">
      <c r="A551" t="s">
        <v>9</v>
      </c>
      <c r="B551" t="s">
        <v>537</v>
      </c>
      <c r="C551" t="s">
        <v>561</v>
      </c>
      <c r="D551" t="str">
        <f>"080404"</f>
        <v>080404</v>
      </c>
      <c r="E551">
        <v>11531</v>
      </c>
      <c r="F551">
        <v>5862</v>
      </c>
      <c r="G551" s="1">
        <v>0.50839999999999996</v>
      </c>
      <c r="H551">
        <v>14</v>
      </c>
      <c r="I551">
        <v>11498</v>
      </c>
    </row>
    <row r="552" spans="1:9" x14ac:dyDescent="0.35">
      <c r="A552" t="s">
        <v>9</v>
      </c>
      <c r="B552" t="s">
        <v>537</v>
      </c>
      <c r="C552" t="s">
        <v>562</v>
      </c>
      <c r="D552" t="str">
        <f>"080405"</f>
        <v>080405</v>
      </c>
      <c r="E552">
        <v>5447</v>
      </c>
      <c r="F552">
        <v>3021</v>
      </c>
      <c r="G552" s="1">
        <v>0.55459999999999998</v>
      </c>
      <c r="H552">
        <v>9</v>
      </c>
      <c r="I552">
        <v>5415</v>
      </c>
    </row>
    <row r="553" spans="1:9" x14ac:dyDescent="0.35">
      <c r="A553" t="s">
        <v>9</v>
      </c>
      <c r="B553" t="s">
        <v>537</v>
      </c>
      <c r="C553" t="s">
        <v>563</v>
      </c>
      <c r="D553" t="str">
        <f>"080406"</f>
        <v>080406</v>
      </c>
      <c r="E553">
        <v>3907</v>
      </c>
      <c r="F553">
        <v>2010</v>
      </c>
      <c r="G553" s="1">
        <v>0.51449999999999996</v>
      </c>
      <c r="H553">
        <v>8</v>
      </c>
      <c r="I553">
        <v>3889</v>
      </c>
    </row>
    <row r="554" spans="1:9" x14ac:dyDescent="0.35">
      <c r="A554" t="s">
        <v>9</v>
      </c>
      <c r="B554" t="s">
        <v>537</v>
      </c>
      <c r="C554" t="s">
        <v>564</v>
      </c>
      <c r="D554" t="str">
        <f>"080407"</f>
        <v>080407</v>
      </c>
      <c r="E554">
        <v>5317</v>
      </c>
      <c r="F554">
        <v>2933</v>
      </c>
      <c r="G554" s="1">
        <v>0.55159999999999998</v>
      </c>
      <c r="H554">
        <v>6</v>
      </c>
      <c r="I554">
        <v>5304</v>
      </c>
    </row>
    <row r="555" spans="1:9" x14ac:dyDescent="0.35">
      <c r="A555" t="s">
        <v>9</v>
      </c>
      <c r="B555" t="s">
        <v>537</v>
      </c>
      <c r="C555" t="s">
        <v>565</v>
      </c>
      <c r="D555" t="str">
        <f>"080408"</f>
        <v>080408</v>
      </c>
      <c r="E555">
        <v>2578</v>
      </c>
      <c r="F555">
        <v>1321</v>
      </c>
      <c r="G555" s="1">
        <v>0.51239999999999997</v>
      </c>
      <c r="H555">
        <v>4</v>
      </c>
      <c r="I555">
        <v>2574</v>
      </c>
    </row>
    <row r="556" spans="1:9" x14ac:dyDescent="0.35">
      <c r="A556" t="s">
        <v>9</v>
      </c>
      <c r="B556" t="s">
        <v>537</v>
      </c>
      <c r="C556" t="s">
        <v>566</v>
      </c>
      <c r="D556" t="str">
        <f>"080501"</f>
        <v>080501</v>
      </c>
      <c r="E556">
        <v>4895</v>
      </c>
      <c r="F556">
        <v>2316</v>
      </c>
      <c r="G556" s="1">
        <v>0.47310000000000002</v>
      </c>
      <c r="H556">
        <v>5</v>
      </c>
      <c r="I556">
        <v>4870</v>
      </c>
    </row>
    <row r="557" spans="1:9" x14ac:dyDescent="0.35">
      <c r="A557" t="s">
        <v>9</v>
      </c>
      <c r="B557" t="s">
        <v>537</v>
      </c>
      <c r="C557" t="s">
        <v>567</v>
      </c>
      <c r="D557" t="str">
        <f>"080502"</f>
        <v>080502</v>
      </c>
      <c r="E557">
        <v>3180</v>
      </c>
      <c r="F557">
        <v>1615</v>
      </c>
      <c r="G557" s="1">
        <v>0.50790000000000002</v>
      </c>
      <c r="H557">
        <v>4</v>
      </c>
      <c r="I557">
        <v>3160</v>
      </c>
    </row>
    <row r="558" spans="1:9" x14ac:dyDescent="0.35">
      <c r="A558" t="s">
        <v>9</v>
      </c>
      <c r="B558" t="s">
        <v>537</v>
      </c>
      <c r="C558" t="s">
        <v>568</v>
      </c>
      <c r="D558" t="str">
        <f>"080503"</f>
        <v>080503</v>
      </c>
      <c r="E558">
        <v>4721</v>
      </c>
      <c r="F558">
        <v>2523</v>
      </c>
      <c r="G558" s="1">
        <v>0.53439999999999999</v>
      </c>
      <c r="H558">
        <v>4</v>
      </c>
      <c r="I558">
        <v>4697</v>
      </c>
    </row>
    <row r="559" spans="1:9" x14ac:dyDescent="0.35">
      <c r="A559" t="s">
        <v>9</v>
      </c>
      <c r="B559" t="s">
        <v>537</v>
      </c>
      <c r="C559" t="s">
        <v>569</v>
      </c>
      <c r="D559" t="str">
        <f>"080504"</f>
        <v>080504</v>
      </c>
      <c r="E559">
        <v>7203</v>
      </c>
      <c r="F559">
        <v>3616</v>
      </c>
      <c r="G559" s="1">
        <v>0.502</v>
      </c>
      <c r="H559">
        <v>5</v>
      </c>
      <c r="I559">
        <v>7134</v>
      </c>
    </row>
    <row r="560" spans="1:9" x14ac:dyDescent="0.35">
      <c r="A560" t="s">
        <v>9</v>
      </c>
      <c r="B560" t="s">
        <v>537</v>
      </c>
      <c r="C560" t="s">
        <v>570</v>
      </c>
      <c r="D560" t="str">
        <f>"080505"</f>
        <v>080505</v>
      </c>
      <c r="E560">
        <v>15841</v>
      </c>
      <c r="F560">
        <v>9426</v>
      </c>
      <c r="G560" s="1">
        <v>0.59499999999999997</v>
      </c>
      <c r="H560">
        <v>19</v>
      </c>
      <c r="I560">
        <v>14918</v>
      </c>
    </row>
    <row r="561" spans="1:9" x14ac:dyDescent="0.35">
      <c r="A561" t="s">
        <v>9</v>
      </c>
      <c r="B561" t="s">
        <v>537</v>
      </c>
      <c r="C561" t="s">
        <v>571</v>
      </c>
      <c r="D561" t="str">
        <f>"080601"</f>
        <v>080601</v>
      </c>
      <c r="E561">
        <v>4861</v>
      </c>
      <c r="F561">
        <v>2499</v>
      </c>
      <c r="G561" s="1">
        <v>0.5141</v>
      </c>
      <c r="H561">
        <v>7</v>
      </c>
      <c r="I561">
        <v>4784</v>
      </c>
    </row>
    <row r="562" spans="1:9" x14ac:dyDescent="0.35">
      <c r="A562" t="s">
        <v>9</v>
      </c>
      <c r="B562" t="s">
        <v>537</v>
      </c>
      <c r="C562" t="s">
        <v>572</v>
      </c>
      <c r="D562" t="str">
        <f>"080602"</f>
        <v>080602</v>
      </c>
      <c r="E562">
        <v>12590</v>
      </c>
      <c r="F562">
        <v>6790</v>
      </c>
      <c r="G562" s="1">
        <v>0.5393</v>
      </c>
      <c r="H562">
        <v>16</v>
      </c>
      <c r="I562">
        <v>12432</v>
      </c>
    </row>
    <row r="563" spans="1:9" x14ac:dyDescent="0.35">
      <c r="A563" t="s">
        <v>9</v>
      </c>
      <c r="B563" t="s">
        <v>537</v>
      </c>
      <c r="C563" t="s">
        <v>573</v>
      </c>
      <c r="D563" t="str">
        <f>"080603"</f>
        <v>080603</v>
      </c>
      <c r="E563">
        <v>3027</v>
      </c>
      <c r="F563">
        <v>1526</v>
      </c>
      <c r="G563" s="1">
        <v>0.50409999999999999</v>
      </c>
      <c r="H563">
        <v>6</v>
      </c>
      <c r="I563">
        <v>2999</v>
      </c>
    </row>
    <row r="564" spans="1:9" x14ac:dyDescent="0.35">
      <c r="A564" t="s">
        <v>9</v>
      </c>
      <c r="B564" t="s">
        <v>537</v>
      </c>
      <c r="C564" t="s">
        <v>574</v>
      </c>
      <c r="D564" t="str">
        <f>"080604"</f>
        <v>080604</v>
      </c>
      <c r="E564">
        <v>12389</v>
      </c>
      <c r="F564">
        <v>6659</v>
      </c>
      <c r="G564" s="1">
        <v>0.53749999999999998</v>
      </c>
      <c r="H564">
        <v>16</v>
      </c>
      <c r="I564">
        <v>12341</v>
      </c>
    </row>
    <row r="565" spans="1:9" x14ac:dyDescent="0.35">
      <c r="A565" t="s">
        <v>9</v>
      </c>
      <c r="B565" t="s">
        <v>537</v>
      </c>
      <c r="C565" t="s">
        <v>575</v>
      </c>
      <c r="D565" t="str">
        <f>"080605"</f>
        <v>080605</v>
      </c>
      <c r="E565">
        <v>3173</v>
      </c>
      <c r="F565">
        <v>1635</v>
      </c>
      <c r="G565" s="1">
        <v>0.51529999999999998</v>
      </c>
      <c r="H565">
        <v>5</v>
      </c>
      <c r="I565">
        <v>3168</v>
      </c>
    </row>
    <row r="566" spans="1:9" x14ac:dyDescent="0.35">
      <c r="A566" t="s">
        <v>9</v>
      </c>
      <c r="B566" t="s">
        <v>537</v>
      </c>
      <c r="C566" t="s">
        <v>576</v>
      </c>
      <c r="D566" t="str">
        <f>"080701"</f>
        <v>080701</v>
      </c>
      <c r="E566">
        <v>3522</v>
      </c>
      <c r="F566">
        <v>1883</v>
      </c>
      <c r="G566" s="1">
        <v>0.53459999999999996</v>
      </c>
      <c r="H566">
        <v>5</v>
      </c>
      <c r="I566">
        <v>3510</v>
      </c>
    </row>
    <row r="567" spans="1:9" x14ac:dyDescent="0.35">
      <c r="A567" t="s">
        <v>9</v>
      </c>
      <c r="B567" t="s">
        <v>537</v>
      </c>
      <c r="C567" t="s">
        <v>577</v>
      </c>
      <c r="D567" t="str">
        <f>"080702"</f>
        <v>080702</v>
      </c>
      <c r="E567">
        <v>2391</v>
      </c>
      <c r="F567">
        <v>1082</v>
      </c>
      <c r="G567" s="1">
        <v>0.45250000000000001</v>
      </c>
      <c r="H567">
        <v>4</v>
      </c>
      <c r="I567">
        <v>2334</v>
      </c>
    </row>
    <row r="568" spans="1:9" x14ac:dyDescent="0.35">
      <c r="A568" t="s">
        <v>9</v>
      </c>
      <c r="B568" t="s">
        <v>537</v>
      </c>
      <c r="C568" t="s">
        <v>578</v>
      </c>
      <c r="D568" t="str">
        <f>"080703"</f>
        <v>080703</v>
      </c>
      <c r="E568">
        <v>3495</v>
      </c>
      <c r="F568">
        <v>1824</v>
      </c>
      <c r="G568" s="1">
        <v>0.52190000000000003</v>
      </c>
      <c r="H568">
        <v>6</v>
      </c>
      <c r="I568">
        <v>3489</v>
      </c>
    </row>
    <row r="569" spans="1:9" x14ac:dyDescent="0.35">
      <c r="A569" t="s">
        <v>9</v>
      </c>
      <c r="B569" t="s">
        <v>537</v>
      </c>
      <c r="C569" t="s">
        <v>579</v>
      </c>
      <c r="D569" t="str">
        <f>"080704"</f>
        <v>080704</v>
      </c>
      <c r="E569">
        <v>10975</v>
      </c>
      <c r="F569">
        <v>6063</v>
      </c>
      <c r="G569" s="1">
        <v>0.5524</v>
      </c>
      <c r="H569">
        <v>20</v>
      </c>
      <c r="I569">
        <v>10834</v>
      </c>
    </row>
    <row r="570" spans="1:9" x14ac:dyDescent="0.35">
      <c r="A570" t="s">
        <v>9</v>
      </c>
      <c r="B570" t="s">
        <v>537</v>
      </c>
      <c r="C570" t="s">
        <v>580</v>
      </c>
      <c r="D570" t="str">
        <f>"080705"</f>
        <v>080705</v>
      </c>
      <c r="E570">
        <v>4860</v>
      </c>
      <c r="F570">
        <v>2439</v>
      </c>
      <c r="G570" s="1">
        <v>0.50190000000000001</v>
      </c>
      <c r="H570">
        <v>10</v>
      </c>
      <c r="I570">
        <v>4766</v>
      </c>
    </row>
    <row r="571" spans="1:9" x14ac:dyDescent="0.35">
      <c r="A571" t="s">
        <v>9</v>
      </c>
      <c r="B571" t="s">
        <v>537</v>
      </c>
      <c r="C571" t="s">
        <v>581</v>
      </c>
      <c r="D571" t="str">
        <f>"080801"</f>
        <v>080801</v>
      </c>
      <c r="E571">
        <v>2798</v>
      </c>
      <c r="F571">
        <v>1618</v>
      </c>
      <c r="G571" s="1">
        <v>0.57830000000000004</v>
      </c>
      <c r="H571">
        <v>6</v>
      </c>
      <c r="I571">
        <v>2770</v>
      </c>
    </row>
    <row r="572" spans="1:9" x14ac:dyDescent="0.35">
      <c r="A572" t="s">
        <v>9</v>
      </c>
      <c r="B572" t="s">
        <v>537</v>
      </c>
      <c r="C572" t="s">
        <v>582</v>
      </c>
      <c r="D572" t="str">
        <f>"080802"</f>
        <v>080802</v>
      </c>
      <c r="E572">
        <v>3834</v>
      </c>
      <c r="F572">
        <v>2039</v>
      </c>
      <c r="G572" s="1">
        <v>0.53180000000000005</v>
      </c>
      <c r="H572">
        <v>6</v>
      </c>
      <c r="I572">
        <v>3799</v>
      </c>
    </row>
    <row r="573" spans="1:9" x14ac:dyDescent="0.35">
      <c r="A573" t="s">
        <v>9</v>
      </c>
      <c r="B573" t="s">
        <v>537</v>
      </c>
      <c r="C573" t="s">
        <v>583</v>
      </c>
      <c r="D573" t="str">
        <f>"080803"</f>
        <v>080803</v>
      </c>
      <c r="E573">
        <v>3709</v>
      </c>
      <c r="F573">
        <v>2028</v>
      </c>
      <c r="G573" s="1">
        <v>0.54679999999999995</v>
      </c>
      <c r="H573">
        <v>7</v>
      </c>
      <c r="I573">
        <v>3673</v>
      </c>
    </row>
    <row r="574" spans="1:9" x14ac:dyDescent="0.35">
      <c r="A574" t="s">
        <v>9</v>
      </c>
      <c r="B574" t="s">
        <v>537</v>
      </c>
      <c r="C574" t="s">
        <v>584</v>
      </c>
      <c r="D574" t="str">
        <f>"080804"</f>
        <v>080804</v>
      </c>
      <c r="E574">
        <v>2851</v>
      </c>
      <c r="F574">
        <v>1515</v>
      </c>
      <c r="G574" s="1">
        <v>0.53139999999999998</v>
      </c>
      <c r="H574">
        <v>5</v>
      </c>
      <c r="I574">
        <v>2835</v>
      </c>
    </row>
    <row r="575" spans="1:9" x14ac:dyDescent="0.35">
      <c r="A575" t="s">
        <v>9</v>
      </c>
      <c r="B575" t="s">
        <v>537</v>
      </c>
      <c r="C575" t="s">
        <v>585</v>
      </c>
      <c r="D575" t="str">
        <f>"080805"</f>
        <v>080805</v>
      </c>
      <c r="E575">
        <v>21328</v>
      </c>
      <c r="F575">
        <v>11820</v>
      </c>
      <c r="G575" s="1">
        <v>0.55420000000000003</v>
      </c>
      <c r="H575">
        <v>25</v>
      </c>
      <c r="I575">
        <v>21147</v>
      </c>
    </row>
    <row r="576" spans="1:9" x14ac:dyDescent="0.35">
      <c r="A576" t="s">
        <v>9</v>
      </c>
      <c r="B576" t="s">
        <v>537</v>
      </c>
      <c r="C576" t="s">
        <v>586</v>
      </c>
      <c r="D576" t="str">
        <f>"080806"</f>
        <v>080806</v>
      </c>
      <c r="E576">
        <v>6151</v>
      </c>
      <c r="F576">
        <v>3585</v>
      </c>
      <c r="G576" s="1">
        <v>0.58279999999999998</v>
      </c>
      <c r="H576">
        <v>7</v>
      </c>
      <c r="I576">
        <v>6120</v>
      </c>
    </row>
    <row r="577" spans="1:9" x14ac:dyDescent="0.35">
      <c r="A577" t="s">
        <v>9</v>
      </c>
      <c r="B577" t="s">
        <v>537</v>
      </c>
      <c r="C577" t="s">
        <v>587</v>
      </c>
      <c r="D577" t="str">
        <f>"080901"</f>
        <v>080901</v>
      </c>
      <c r="E577">
        <v>4687</v>
      </c>
      <c r="F577">
        <v>2591</v>
      </c>
      <c r="G577" s="1">
        <v>0.55279999999999996</v>
      </c>
      <c r="H577">
        <v>6</v>
      </c>
      <c r="I577">
        <v>4657</v>
      </c>
    </row>
    <row r="578" spans="1:9" x14ac:dyDescent="0.35">
      <c r="A578" t="s">
        <v>9</v>
      </c>
      <c r="B578" t="s">
        <v>537</v>
      </c>
      <c r="C578" t="s">
        <v>588</v>
      </c>
      <c r="D578" t="str">
        <f>"080902"</f>
        <v>080902</v>
      </c>
      <c r="E578">
        <v>2501</v>
      </c>
      <c r="F578">
        <v>1220</v>
      </c>
      <c r="G578" s="1">
        <v>0.48780000000000001</v>
      </c>
      <c r="H578">
        <v>4</v>
      </c>
      <c r="I578">
        <v>2485</v>
      </c>
    </row>
    <row r="579" spans="1:9" x14ac:dyDescent="0.35">
      <c r="A579" t="s">
        <v>9</v>
      </c>
      <c r="B579" t="s">
        <v>537</v>
      </c>
      <c r="C579" t="s">
        <v>589</v>
      </c>
      <c r="D579" t="str">
        <f>"080903"</f>
        <v>080903</v>
      </c>
      <c r="E579">
        <v>7390</v>
      </c>
      <c r="F579">
        <v>4166</v>
      </c>
      <c r="G579" s="1">
        <v>0.56369999999999998</v>
      </c>
      <c r="H579">
        <v>9</v>
      </c>
      <c r="I579">
        <v>7302</v>
      </c>
    </row>
    <row r="580" spans="1:9" x14ac:dyDescent="0.35">
      <c r="A580" t="s">
        <v>9</v>
      </c>
      <c r="B580" t="s">
        <v>537</v>
      </c>
      <c r="C580" t="s">
        <v>590</v>
      </c>
      <c r="D580" t="str">
        <f>"080904"</f>
        <v>080904</v>
      </c>
      <c r="E580">
        <v>4420</v>
      </c>
      <c r="F580">
        <v>2376</v>
      </c>
      <c r="G580" s="1">
        <v>0.53759999999999997</v>
      </c>
      <c r="H580">
        <v>5</v>
      </c>
      <c r="I580">
        <v>4344</v>
      </c>
    </row>
    <row r="581" spans="1:9" x14ac:dyDescent="0.35">
      <c r="A581" t="s">
        <v>9</v>
      </c>
      <c r="B581" t="s">
        <v>537</v>
      </c>
      <c r="C581" t="s">
        <v>591</v>
      </c>
      <c r="D581" t="str">
        <f>"080905"</f>
        <v>080905</v>
      </c>
      <c r="E581">
        <v>6799</v>
      </c>
      <c r="F581">
        <v>3680</v>
      </c>
      <c r="G581" s="1">
        <v>0.5413</v>
      </c>
      <c r="H581">
        <v>13</v>
      </c>
      <c r="I581">
        <v>6767</v>
      </c>
    </row>
    <row r="582" spans="1:9" x14ac:dyDescent="0.35">
      <c r="A582" t="s">
        <v>9</v>
      </c>
      <c r="B582" t="s">
        <v>537</v>
      </c>
      <c r="C582" t="s">
        <v>592</v>
      </c>
      <c r="D582" t="str">
        <f>"080906"</f>
        <v>080906</v>
      </c>
      <c r="E582">
        <v>18918</v>
      </c>
      <c r="F582">
        <v>10239</v>
      </c>
      <c r="G582" s="1">
        <v>0.54120000000000001</v>
      </c>
      <c r="H582">
        <v>18</v>
      </c>
      <c r="I582">
        <v>18779</v>
      </c>
    </row>
    <row r="583" spans="1:9" x14ac:dyDescent="0.35">
      <c r="A583" t="s">
        <v>9</v>
      </c>
      <c r="B583" t="s">
        <v>537</v>
      </c>
      <c r="C583" t="s">
        <v>128</v>
      </c>
      <c r="D583" t="str">
        <f>"080907"</f>
        <v>080907</v>
      </c>
      <c r="E583">
        <v>5167</v>
      </c>
      <c r="F583">
        <v>3116</v>
      </c>
      <c r="G583" s="1">
        <v>0.60309999999999997</v>
      </c>
      <c r="H583">
        <v>6</v>
      </c>
      <c r="I583">
        <v>5143</v>
      </c>
    </row>
    <row r="584" spans="1:9" x14ac:dyDescent="0.35">
      <c r="A584" t="s">
        <v>9</v>
      </c>
      <c r="B584" t="s">
        <v>537</v>
      </c>
      <c r="C584" t="s">
        <v>593</v>
      </c>
      <c r="D584" t="str">
        <f>"080908"</f>
        <v>080908</v>
      </c>
      <c r="E584">
        <v>2443</v>
      </c>
      <c r="F584">
        <v>1225</v>
      </c>
      <c r="G584" s="1">
        <v>0.50139999999999996</v>
      </c>
      <c r="H584">
        <v>7</v>
      </c>
      <c r="I584">
        <v>2426</v>
      </c>
    </row>
    <row r="585" spans="1:9" x14ac:dyDescent="0.35">
      <c r="A585" t="s">
        <v>9</v>
      </c>
      <c r="B585" t="s">
        <v>537</v>
      </c>
      <c r="C585" t="s">
        <v>594</v>
      </c>
      <c r="D585" t="str">
        <f>"080909"</f>
        <v>080909</v>
      </c>
      <c r="E585">
        <v>3464</v>
      </c>
      <c r="F585">
        <v>2213</v>
      </c>
      <c r="G585" s="1">
        <v>0.63890000000000002</v>
      </c>
      <c r="H585">
        <v>5</v>
      </c>
      <c r="I585">
        <v>3408</v>
      </c>
    </row>
    <row r="586" spans="1:9" x14ac:dyDescent="0.35">
      <c r="A586" t="s">
        <v>9</v>
      </c>
      <c r="B586" t="s">
        <v>537</v>
      </c>
      <c r="C586" t="s">
        <v>595</v>
      </c>
      <c r="D586" t="str">
        <f>"081001"</f>
        <v>081001</v>
      </c>
      <c r="E586">
        <v>2181</v>
      </c>
      <c r="F586">
        <v>1043</v>
      </c>
      <c r="G586" s="1">
        <v>0.47820000000000001</v>
      </c>
      <c r="H586">
        <v>3</v>
      </c>
      <c r="I586">
        <v>2167</v>
      </c>
    </row>
    <row r="587" spans="1:9" x14ac:dyDescent="0.35">
      <c r="A587" t="s">
        <v>9</v>
      </c>
      <c r="B587" t="s">
        <v>537</v>
      </c>
      <c r="C587" t="s">
        <v>596</v>
      </c>
      <c r="D587" t="str">
        <f>"081002"</f>
        <v>081002</v>
      </c>
      <c r="E587">
        <v>17594</v>
      </c>
      <c r="F587">
        <v>8758</v>
      </c>
      <c r="G587" s="1">
        <v>0.49780000000000002</v>
      </c>
      <c r="H587">
        <v>13</v>
      </c>
      <c r="I587">
        <v>17415</v>
      </c>
    </row>
    <row r="588" spans="1:9" x14ac:dyDescent="0.35">
      <c r="A588" t="s">
        <v>9</v>
      </c>
      <c r="B588" t="s">
        <v>537</v>
      </c>
      <c r="C588" t="s">
        <v>597</v>
      </c>
      <c r="D588" t="str">
        <f>"081003"</f>
        <v>081003</v>
      </c>
      <c r="E588">
        <v>2751</v>
      </c>
      <c r="F588">
        <v>1497</v>
      </c>
      <c r="G588" s="1">
        <v>0.54420000000000002</v>
      </c>
      <c r="H588">
        <v>4</v>
      </c>
      <c r="I588">
        <v>2718</v>
      </c>
    </row>
    <row r="589" spans="1:9" x14ac:dyDescent="0.35">
      <c r="A589" t="s">
        <v>9</v>
      </c>
      <c r="B589" t="s">
        <v>537</v>
      </c>
      <c r="C589" t="s">
        <v>598</v>
      </c>
      <c r="D589" t="str">
        <f>"081004"</f>
        <v>081004</v>
      </c>
      <c r="E589">
        <v>4980</v>
      </c>
      <c r="F589">
        <v>2579</v>
      </c>
      <c r="G589" s="1">
        <v>0.51790000000000003</v>
      </c>
      <c r="H589">
        <v>9</v>
      </c>
      <c r="I589">
        <v>4939</v>
      </c>
    </row>
    <row r="590" spans="1:9" x14ac:dyDescent="0.35">
      <c r="A590" t="s">
        <v>9</v>
      </c>
      <c r="B590" t="s">
        <v>537</v>
      </c>
      <c r="C590" t="s">
        <v>599</v>
      </c>
      <c r="D590" t="str">
        <f>"081005"</f>
        <v>081005</v>
      </c>
      <c r="E590">
        <v>3850</v>
      </c>
      <c r="F590">
        <v>1920</v>
      </c>
      <c r="G590" s="1">
        <v>0.49869999999999998</v>
      </c>
      <c r="H590">
        <v>5</v>
      </c>
      <c r="I590">
        <v>3831</v>
      </c>
    </row>
    <row r="591" spans="1:9" x14ac:dyDescent="0.35">
      <c r="A591" t="s">
        <v>9</v>
      </c>
      <c r="B591" t="s">
        <v>537</v>
      </c>
      <c r="C591" t="s">
        <v>600</v>
      </c>
      <c r="D591" t="str">
        <f>"081006"</f>
        <v>081006</v>
      </c>
      <c r="E591">
        <v>3289</v>
      </c>
      <c r="F591">
        <v>1759</v>
      </c>
      <c r="G591" s="1">
        <v>0.53480000000000005</v>
      </c>
      <c r="H591">
        <v>8</v>
      </c>
      <c r="I591">
        <v>3266</v>
      </c>
    </row>
    <row r="592" spans="1:9" x14ac:dyDescent="0.35">
      <c r="A592" t="s">
        <v>9</v>
      </c>
      <c r="B592" t="s">
        <v>537</v>
      </c>
      <c r="C592" t="s">
        <v>601</v>
      </c>
      <c r="D592" t="str">
        <f>"081007"</f>
        <v>081007</v>
      </c>
      <c r="E592">
        <v>14502</v>
      </c>
      <c r="F592">
        <v>7589</v>
      </c>
      <c r="G592" s="1">
        <v>0.52329999999999999</v>
      </c>
      <c r="H592">
        <v>18</v>
      </c>
      <c r="I592">
        <v>14454</v>
      </c>
    </row>
    <row r="593" spans="1:9" x14ac:dyDescent="0.35">
      <c r="A593" t="s">
        <v>9</v>
      </c>
      <c r="B593" t="s">
        <v>537</v>
      </c>
      <c r="C593" t="s">
        <v>602</v>
      </c>
      <c r="D593" t="str">
        <f>"081008"</f>
        <v>081008</v>
      </c>
      <c r="E593">
        <v>1650</v>
      </c>
      <c r="F593">
        <v>832</v>
      </c>
      <c r="G593" s="1">
        <v>0.50419999999999998</v>
      </c>
      <c r="H593">
        <v>2</v>
      </c>
      <c r="I593">
        <v>1639</v>
      </c>
    </row>
    <row r="594" spans="1:9" x14ac:dyDescent="0.35">
      <c r="A594" t="s">
        <v>9</v>
      </c>
      <c r="B594" t="s">
        <v>537</v>
      </c>
      <c r="C594" t="s">
        <v>603</v>
      </c>
      <c r="D594" t="str">
        <f>"081009"</f>
        <v>081009</v>
      </c>
      <c r="E594">
        <v>5363</v>
      </c>
      <c r="F594">
        <v>2886</v>
      </c>
      <c r="G594" s="1">
        <v>0.53810000000000002</v>
      </c>
      <c r="H594">
        <v>13</v>
      </c>
      <c r="I594">
        <v>5332</v>
      </c>
    </row>
    <row r="595" spans="1:9" x14ac:dyDescent="0.35">
      <c r="A595" t="s">
        <v>9</v>
      </c>
      <c r="B595" t="s">
        <v>537</v>
      </c>
      <c r="C595" t="s">
        <v>604</v>
      </c>
      <c r="D595" t="str">
        <f>"081101"</f>
        <v>081101</v>
      </c>
      <c r="E595">
        <v>1785</v>
      </c>
      <c r="F595">
        <v>912</v>
      </c>
      <c r="G595" s="1">
        <v>0.51090000000000002</v>
      </c>
      <c r="H595">
        <v>2</v>
      </c>
      <c r="I595">
        <v>1756</v>
      </c>
    </row>
    <row r="596" spans="1:9" x14ac:dyDescent="0.35">
      <c r="A596" t="s">
        <v>9</v>
      </c>
      <c r="B596" t="s">
        <v>537</v>
      </c>
      <c r="C596" t="s">
        <v>605</v>
      </c>
      <c r="D596" t="str">
        <f>"081102"</f>
        <v>081102</v>
      </c>
      <c r="E596">
        <v>26209</v>
      </c>
      <c r="F596">
        <v>14522</v>
      </c>
      <c r="G596" s="1">
        <v>0.55410000000000004</v>
      </c>
      <c r="H596">
        <v>21</v>
      </c>
      <c r="I596">
        <v>25881</v>
      </c>
    </row>
    <row r="597" spans="1:9" x14ac:dyDescent="0.35">
      <c r="A597" t="s">
        <v>9</v>
      </c>
      <c r="B597" t="s">
        <v>537</v>
      </c>
      <c r="C597" t="s">
        <v>606</v>
      </c>
      <c r="D597" t="str">
        <f>"081103"</f>
        <v>081103</v>
      </c>
      <c r="E597">
        <v>2468</v>
      </c>
      <c r="F597">
        <v>1261</v>
      </c>
      <c r="G597" s="1">
        <v>0.51090000000000002</v>
      </c>
      <c r="H597">
        <v>6</v>
      </c>
      <c r="I597">
        <v>2428</v>
      </c>
    </row>
    <row r="598" spans="1:9" x14ac:dyDescent="0.35">
      <c r="A598" t="s">
        <v>9</v>
      </c>
      <c r="B598" t="s">
        <v>537</v>
      </c>
      <c r="C598" t="s">
        <v>607</v>
      </c>
      <c r="D598" t="str">
        <f>"081104"</f>
        <v>081104</v>
      </c>
      <c r="E598">
        <v>5134</v>
      </c>
      <c r="F598">
        <v>2557</v>
      </c>
      <c r="G598" s="1">
        <v>0.49809999999999999</v>
      </c>
      <c r="H598">
        <v>5</v>
      </c>
      <c r="I598">
        <v>5123</v>
      </c>
    </row>
    <row r="599" spans="1:9" x14ac:dyDescent="0.35">
      <c r="A599" t="s">
        <v>9</v>
      </c>
      <c r="B599" t="s">
        <v>537</v>
      </c>
      <c r="C599" t="s">
        <v>608</v>
      </c>
      <c r="D599" t="str">
        <f>"081105"</f>
        <v>081105</v>
      </c>
      <c r="E599">
        <v>2455</v>
      </c>
      <c r="F599">
        <v>1266</v>
      </c>
      <c r="G599" s="1">
        <v>0.51570000000000005</v>
      </c>
      <c r="H599">
        <v>5</v>
      </c>
      <c r="I599">
        <v>2445</v>
      </c>
    </row>
    <row r="600" spans="1:9" x14ac:dyDescent="0.35">
      <c r="A600" t="s">
        <v>9</v>
      </c>
      <c r="B600" t="s">
        <v>537</v>
      </c>
      <c r="C600" t="s">
        <v>609</v>
      </c>
      <c r="D600" t="str">
        <f>"081106"</f>
        <v>081106</v>
      </c>
      <c r="E600">
        <v>13240</v>
      </c>
      <c r="F600">
        <v>6681</v>
      </c>
      <c r="G600" s="1">
        <v>0.50460000000000005</v>
      </c>
      <c r="H600">
        <v>13</v>
      </c>
      <c r="I600">
        <v>13174</v>
      </c>
    </row>
    <row r="601" spans="1:9" x14ac:dyDescent="0.35">
      <c r="A601" t="s">
        <v>9</v>
      </c>
      <c r="B601" t="s">
        <v>537</v>
      </c>
      <c r="C601" t="s">
        <v>610</v>
      </c>
      <c r="D601" t="str">
        <f>"081107"</f>
        <v>081107</v>
      </c>
      <c r="E601">
        <v>2368</v>
      </c>
      <c r="F601">
        <v>1297</v>
      </c>
      <c r="G601" s="1">
        <v>0.54769999999999996</v>
      </c>
      <c r="H601">
        <v>6</v>
      </c>
      <c r="I601">
        <v>2350</v>
      </c>
    </row>
    <row r="602" spans="1:9" x14ac:dyDescent="0.35">
      <c r="A602" t="s">
        <v>9</v>
      </c>
      <c r="B602" t="s">
        <v>537</v>
      </c>
      <c r="C602" t="s">
        <v>611</v>
      </c>
      <c r="D602" t="str">
        <f>"081108"</f>
        <v>081108</v>
      </c>
      <c r="E602">
        <v>4324</v>
      </c>
      <c r="F602">
        <v>2168</v>
      </c>
      <c r="G602" s="1">
        <v>0.50139999999999996</v>
      </c>
      <c r="H602">
        <v>5</v>
      </c>
      <c r="I602">
        <v>4278</v>
      </c>
    </row>
    <row r="603" spans="1:9" x14ac:dyDescent="0.35">
      <c r="A603" t="s">
        <v>9</v>
      </c>
      <c r="B603" t="s">
        <v>537</v>
      </c>
      <c r="C603" t="s">
        <v>612</v>
      </c>
      <c r="D603" t="str">
        <f>"081109"</f>
        <v>081109</v>
      </c>
      <c r="E603">
        <v>2225</v>
      </c>
      <c r="F603">
        <v>1266</v>
      </c>
      <c r="G603" s="1">
        <v>0.56899999999999995</v>
      </c>
      <c r="H603">
        <v>2</v>
      </c>
      <c r="I603">
        <v>2204</v>
      </c>
    </row>
    <row r="604" spans="1:9" x14ac:dyDescent="0.35">
      <c r="A604" t="s">
        <v>9</v>
      </c>
      <c r="B604" t="s">
        <v>537</v>
      </c>
      <c r="C604" t="s">
        <v>613</v>
      </c>
      <c r="D604" t="str">
        <f>"081110"</f>
        <v>081110</v>
      </c>
      <c r="E604">
        <v>9223</v>
      </c>
      <c r="F604">
        <v>5173</v>
      </c>
      <c r="G604" s="1">
        <v>0.56089999999999995</v>
      </c>
      <c r="H604">
        <v>14</v>
      </c>
      <c r="I604">
        <v>9162</v>
      </c>
    </row>
    <row r="605" spans="1:9" x14ac:dyDescent="0.35">
      <c r="A605" t="s">
        <v>9</v>
      </c>
      <c r="B605" t="s">
        <v>537</v>
      </c>
      <c r="C605" t="s">
        <v>614</v>
      </c>
      <c r="D605" t="str">
        <f>"081201"</f>
        <v>081201</v>
      </c>
      <c r="E605">
        <v>9516</v>
      </c>
      <c r="F605">
        <v>5108</v>
      </c>
      <c r="G605" s="1">
        <v>0.53680000000000005</v>
      </c>
      <c r="H605">
        <v>15</v>
      </c>
      <c r="I605">
        <v>9409</v>
      </c>
    </row>
    <row r="606" spans="1:9" x14ac:dyDescent="0.35">
      <c r="A606" t="s">
        <v>9</v>
      </c>
      <c r="B606" t="s">
        <v>537</v>
      </c>
      <c r="C606" t="s">
        <v>615</v>
      </c>
      <c r="D606" t="str">
        <f>"081202"</f>
        <v>081202</v>
      </c>
      <c r="E606">
        <v>3773</v>
      </c>
      <c r="F606">
        <v>2016</v>
      </c>
      <c r="G606" s="1">
        <v>0.5343</v>
      </c>
      <c r="H606">
        <v>8</v>
      </c>
      <c r="I606">
        <v>3742</v>
      </c>
    </row>
    <row r="607" spans="1:9" x14ac:dyDescent="0.35">
      <c r="A607" t="s">
        <v>9</v>
      </c>
      <c r="B607" t="s">
        <v>537</v>
      </c>
      <c r="C607" t="s">
        <v>616</v>
      </c>
      <c r="D607" t="str">
        <f>"081203"</f>
        <v>081203</v>
      </c>
      <c r="E607">
        <v>15205</v>
      </c>
      <c r="F607">
        <v>8138</v>
      </c>
      <c r="G607" s="1">
        <v>0.53520000000000001</v>
      </c>
      <c r="H607">
        <v>20</v>
      </c>
      <c r="I607">
        <v>14984</v>
      </c>
    </row>
    <row r="608" spans="1:9" x14ac:dyDescent="0.35">
      <c r="A608" t="s">
        <v>9</v>
      </c>
      <c r="B608" t="s">
        <v>537</v>
      </c>
      <c r="C608" t="s">
        <v>617</v>
      </c>
      <c r="D608" t="str">
        <f>"086101"</f>
        <v>086101</v>
      </c>
      <c r="E608">
        <v>84375</v>
      </c>
      <c r="F608">
        <v>48867</v>
      </c>
      <c r="G608" s="1">
        <v>0.57920000000000005</v>
      </c>
      <c r="H608">
        <v>63</v>
      </c>
      <c r="I608">
        <v>83682</v>
      </c>
    </row>
    <row r="609" spans="1:9" x14ac:dyDescent="0.35">
      <c r="A609" t="s">
        <v>9</v>
      </c>
      <c r="B609" t="s">
        <v>537</v>
      </c>
      <c r="C609" t="s">
        <v>618</v>
      </c>
      <c r="D609" t="str">
        <f>"086201"</f>
        <v>086201</v>
      </c>
      <c r="E609">
        <v>102553</v>
      </c>
      <c r="F609">
        <v>63522</v>
      </c>
      <c r="G609" s="1">
        <v>0.61939999999999995</v>
      </c>
      <c r="H609">
        <v>73</v>
      </c>
      <c r="I609">
        <v>101724</v>
      </c>
    </row>
    <row r="610" spans="1:9" x14ac:dyDescent="0.35">
      <c r="A610" t="s">
        <v>9</v>
      </c>
      <c r="B610" t="s">
        <v>619</v>
      </c>
      <c r="C610" t="s">
        <v>620</v>
      </c>
      <c r="D610" t="str">
        <f>"100101"</f>
        <v>100101</v>
      </c>
      <c r="E610">
        <v>40429</v>
      </c>
      <c r="F610">
        <v>22993</v>
      </c>
      <c r="G610" s="1">
        <v>0.56869999999999998</v>
      </c>
      <c r="H610">
        <v>26</v>
      </c>
      <c r="I610">
        <v>40088</v>
      </c>
    </row>
    <row r="611" spans="1:9" x14ac:dyDescent="0.35">
      <c r="A611" t="s">
        <v>9</v>
      </c>
      <c r="B611" t="s">
        <v>619</v>
      </c>
      <c r="C611" t="s">
        <v>621</v>
      </c>
      <c r="D611" t="str">
        <f>"100102"</f>
        <v>100102</v>
      </c>
      <c r="E611">
        <v>9542</v>
      </c>
      <c r="F611">
        <v>5666</v>
      </c>
      <c r="G611" s="1">
        <v>0.59379999999999999</v>
      </c>
      <c r="H611">
        <v>9</v>
      </c>
      <c r="I611">
        <v>9476</v>
      </c>
    </row>
    <row r="612" spans="1:9" x14ac:dyDescent="0.35">
      <c r="A612" t="s">
        <v>9</v>
      </c>
      <c r="B612" t="s">
        <v>619</v>
      </c>
      <c r="C612" t="s">
        <v>622</v>
      </c>
      <c r="D612" t="str">
        <f>"100103"</f>
        <v>100103</v>
      </c>
      <c r="E612">
        <v>4095</v>
      </c>
      <c r="F612">
        <v>2281</v>
      </c>
      <c r="G612" s="1">
        <v>0.55700000000000005</v>
      </c>
      <c r="H612">
        <v>6</v>
      </c>
      <c r="I612">
        <v>4077</v>
      </c>
    </row>
    <row r="613" spans="1:9" x14ac:dyDescent="0.35">
      <c r="A613" t="s">
        <v>9</v>
      </c>
      <c r="B613" t="s">
        <v>619</v>
      </c>
      <c r="C613" t="s">
        <v>623</v>
      </c>
      <c r="D613" t="str">
        <f>"100104"</f>
        <v>100104</v>
      </c>
      <c r="E613">
        <v>4717</v>
      </c>
      <c r="F613">
        <v>2818</v>
      </c>
      <c r="G613" s="1">
        <v>0.59740000000000004</v>
      </c>
      <c r="H613">
        <v>6</v>
      </c>
      <c r="I613">
        <v>4696</v>
      </c>
    </row>
    <row r="614" spans="1:9" x14ac:dyDescent="0.35">
      <c r="A614" t="s">
        <v>9</v>
      </c>
      <c r="B614" t="s">
        <v>619</v>
      </c>
      <c r="C614" t="s">
        <v>624</v>
      </c>
      <c r="D614" t="str">
        <f>"100105"</f>
        <v>100105</v>
      </c>
      <c r="E614">
        <v>3471</v>
      </c>
      <c r="F614">
        <v>1959</v>
      </c>
      <c r="G614" s="1">
        <v>0.56440000000000001</v>
      </c>
      <c r="H614">
        <v>4</v>
      </c>
      <c r="I614">
        <v>3465</v>
      </c>
    </row>
    <row r="615" spans="1:9" x14ac:dyDescent="0.35">
      <c r="A615" t="s">
        <v>9</v>
      </c>
      <c r="B615" t="s">
        <v>619</v>
      </c>
      <c r="C615" t="s">
        <v>625</v>
      </c>
      <c r="D615" t="str">
        <f>"100106"</f>
        <v>100106</v>
      </c>
      <c r="E615">
        <v>3895</v>
      </c>
      <c r="F615">
        <v>2328</v>
      </c>
      <c r="G615" s="1">
        <v>0.59770000000000001</v>
      </c>
      <c r="H615">
        <v>6</v>
      </c>
      <c r="I615">
        <v>3852</v>
      </c>
    </row>
    <row r="616" spans="1:9" x14ac:dyDescent="0.35">
      <c r="A616" t="s">
        <v>9</v>
      </c>
      <c r="B616" t="s">
        <v>619</v>
      </c>
      <c r="C616" t="s">
        <v>626</v>
      </c>
      <c r="D616" t="str">
        <f>"100107"</f>
        <v>100107</v>
      </c>
      <c r="E616">
        <v>6362</v>
      </c>
      <c r="F616">
        <v>3819</v>
      </c>
      <c r="G616" s="1">
        <v>0.60029999999999994</v>
      </c>
      <c r="H616">
        <v>7</v>
      </c>
      <c r="I616">
        <v>6325</v>
      </c>
    </row>
    <row r="617" spans="1:9" x14ac:dyDescent="0.35">
      <c r="A617" t="s">
        <v>9</v>
      </c>
      <c r="B617" t="s">
        <v>619</v>
      </c>
      <c r="C617" t="s">
        <v>627</v>
      </c>
      <c r="D617" t="str">
        <f>"100108"</f>
        <v>100108</v>
      </c>
      <c r="E617">
        <v>11176</v>
      </c>
      <c r="F617">
        <v>6377</v>
      </c>
      <c r="G617" s="1">
        <v>0.5706</v>
      </c>
      <c r="H617">
        <v>10</v>
      </c>
      <c r="I617">
        <v>11074</v>
      </c>
    </row>
    <row r="618" spans="1:9" x14ac:dyDescent="0.35">
      <c r="A618" t="s">
        <v>9</v>
      </c>
      <c r="B618" t="s">
        <v>619</v>
      </c>
      <c r="C618" t="s">
        <v>628</v>
      </c>
      <c r="D618" t="str">
        <f>"100201"</f>
        <v>100201</v>
      </c>
      <c r="E618">
        <v>32340</v>
      </c>
      <c r="F618">
        <v>18612</v>
      </c>
      <c r="G618" s="1">
        <v>0.57550000000000001</v>
      </c>
      <c r="H618">
        <v>25</v>
      </c>
      <c r="I618">
        <v>32083</v>
      </c>
    </row>
    <row r="619" spans="1:9" x14ac:dyDescent="0.35">
      <c r="A619" t="s">
        <v>9</v>
      </c>
      <c r="B619" t="s">
        <v>619</v>
      </c>
      <c r="C619" t="s">
        <v>629</v>
      </c>
      <c r="D619" t="str">
        <f>"100202"</f>
        <v>100202</v>
      </c>
      <c r="E619">
        <v>4030</v>
      </c>
      <c r="F619">
        <v>2223</v>
      </c>
      <c r="G619" s="1">
        <v>0.55159999999999998</v>
      </c>
      <c r="H619">
        <v>5</v>
      </c>
      <c r="I619">
        <v>3991</v>
      </c>
    </row>
    <row r="620" spans="1:9" x14ac:dyDescent="0.35">
      <c r="A620" t="s">
        <v>9</v>
      </c>
      <c r="B620" t="s">
        <v>619</v>
      </c>
      <c r="C620" t="s">
        <v>630</v>
      </c>
      <c r="D620" t="str">
        <f>"100203"</f>
        <v>100203</v>
      </c>
      <c r="E620">
        <v>1467</v>
      </c>
      <c r="F620">
        <v>783</v>
      </c>
      <c r="G620" s="1">
        <v>0.53369999999999995</v>
      </c>
      <c r="H620">
        <v>4</v>
      </c>
      <c r="I620">
        <v>1452</v>
      </c>
    </row>
    <row r="621" spans="1:9" x14ac:dyDescent="0.35">
      <c r="A621" t="s">
        <v>9</v>
      </c>
      <c r="B621" t="s">
        <v>619</v>
      </c>
      <c r="C621" t="s">
        <v>631</v>
      </c>
      <c r="D621" t="str">
        <f>"100204"</f>
        <v>100204</v>
      </c>
      <c r="E621">
        <v>6133</v>
      </c>
      <c r="F621">
        <v>3252</v>
      </c>
      <c r="G621" s="1">
        <v>0.5302</v>
      </c>
      <c r="H621">
        <v>10</v>
      </c>
      <c r="I621">
        <v>6118</v>
      </c>
    </row>
    <row r="622" spans="1:9" x14ac:dyDescent="0.35">
      <c r="A622" t="s">
        <v>9</v>
      </c>
      <c r="B622" t="s">
        <v>619</v>
      </c>
      <c r="C622" t="s">
        <v>632</v>
      </c>
      <c r="D622" t="str">
        <f>"100205"</f>
        <v>100205</v>
      </c>
      <c r="E622">
        <v>3273</v>
      </c>
      <c r="F622">
        <v>1823</v>
      </c>
      <c r="G622" s="1">
        <v>0.55700000000000005</v>
      </c>
      <c r="H622">
        <v>4</v>
      </c>
      <c r="I622">
        <v>3268</v>
      </c>
    </row>
    <row r="623" spans="1:9" x14ac:dyDescent="0.35">
      <c r="A623" t="s">
        <v>9</v>
      </c>
      <c r="B623" t="s">
        <v>619</v>
      </c>
      <c r="C623" t="s">
        <v>633</v>
      </c>
      <c r="D623" t="str">
        <f>"100206"</f>
        <v>100206</v>
      </c>
      <c r="E623">
        <v>6774</v>
      </c>
      <c r="F623">
        <v>3896</v>
      </c>
      <c r="G623" s="1">
        <v>0.57509999999999994</v>
      </c>
      <c r="H623">
        <v>10</v>
      </c>
      <c r="I623">
        <v>6757</v>
      </c>
    </row>
    <row r="624" spans="1:9" x14ac:dyDescent="0.35">
      <c r="A624" t="s">
        <v>9</v>
      </c>
      <c r="B624" t="s">
        <v>619</v>
      </c>
      <c r="C624" t="s">
        <v>634</v>
      </c>
      <c r="D624" t="str">
        <f>"100207"</f>
        <v>100207</v>
      </c>
      <c r="E624">
        <v>1684</v>
      </c>
      <c r="F624">
        <v>842</v>
      </c>
      <c r="G624" s="1">
        <v>0.5</v>
      </c>
      <c r="H624">
        <v>2</v>
      </c>
      <c r="I624">
        <v>1675</v>
      </c>
    </row>
    <row r="625" spans="1:9" x14ac:dyDescent="0.35">
      <c r="A625" t="s">
        <v>9</v>
      </c>
      <c r="B625" t="s">
        <v>619</v>
      </c>
      <c r="C625" t="s">
        <v>635</v>
      </c>
      <c r="D625" t="str">
        <f>"100208"</f>
        <v>100208</v>
      </c>
      <c r="E625">
        <v>2664</v>
      </c>
      <c r="F625">
        <v>1374</v>
      </c>
      <c r="G625" s="1">
        <v>0.51580000000000004</v>
      </c>
      <c r="H625">
        <v>4</v>
      </c>
      <c r="I625">
        <v>2646</v>
      </c>
    </row>
    <row r="626" spans="1:9" x14ac:dyDescent="0.35">
      <c r="A626" t="s">
        <v>9</v>
      </c>
      <c r="B626" t="s">
        <v>619</v>
      </c>
      <c r="C626" t="s">
        <v>636</v>
      </c>
      <c r="D626" t="str">
        <f>"100209"</f>
        <v>100209</v>
      </c>
      <c r="E626">
        <v>1956</v>
      </c>
      <c r="F626">
        <v>1040</v>
      </c>
      <c r="G626" s="1">
        <v>0.53169999999999995</v>
      </c>
      <c r="H626">
        <v>2</v>
      </c>
      <c r="I626">
        <v>1951</v>
      </c>
    </row>
    <row r="627" spans="1:9" x14ac:dyDescent="0.35">
      <c r="A627" t="s">
        <v>9</v>
      </c>
      <c r="B627" t="s">
        <v>619</v>
      </c>
      <c r="C627" t="s">
        <v>637</v>
      </c>
      <c r="D627" t="str">
        <f>"100210"</f>
        <v>100210</v>
      </c>
      <c r="E627">
        <v>3005</v>
      </c>
      <c r="F627">
        <v>1647</v>
      </c>
      <c r="G627" s="1">
        <v>0.54810000000000003</v>
      </c>
      <c r="H627">
        <v>4</v>
      </c>
      <c r="I627">
        <v>2972</v>
      </c>
    </row>
    <row r="628" spans="1:9" x14ac:dyDescent="0.35">
      <c r="A628" t="s">
        <v>9</v>
      </c>
      <c r="B628" t="s">
        <v>619</v>
      </c>
      <c r="C628" t="s">
        <v>638</v>
      </c>
      <c r="D628" t="str">
        <f>"100211"</f>
        <v>100211</v>
      </c>
      <c r="E628">
        <v>8685</v>
      </c>
      <c r="F628">
        <v>4512</v>
      </c>
      <c r="G628" s="1">
        <v>0.51949999999999996</v>
      </c>
      <c r="H628">
        <v>9</v>
      </c>
      <c r="I628">
        <v>8648</v>
      </c>
    </row>
    <row r="629" spans="1:9" x14ac:dyDescent="0.35">
      <c r="A629" t="s">
        <v>9</v>
      </c>
      <c r="B629" t="s">
        <v>619</v>
      </c>
      <c r="C629" t="s">
        <v>639</v>
      </c>
      <c r="D629" t="str">
        <f>"100301"</f>
        <v>100301</v>
      </c>
      <c r="E629">
        <v>3993</v>
      </c>
      <c r="F629">
        <v>2331</v>
      </c>
      <c r="G629" s="1">
        <v>0.58379999999999999</v>
      </c>
      <c r="H629">
        <v>8</v>
      </c>
      <c r="I629">
        <v>3954</v>
      </c>
    </row>
    <row r="630" spans="1:9" x14ac:dyDescent="0.35">
      <c r="A630" t="s">
        <v>9</v>
      </c>
      <c r="B630" t="s">
        <v>619</v>
      </c>
      <c r="C630" t="s">
        <v>640</v>
      </c>
      <c r="D630" t="str">
        <f>"100302"</f>
        <v>100302</v>
      </c>
      <c r="E630">
        <v>21014</v>
      </c>
      <c r="F630">
        <v>12636</v>
      </c>
      <c r="G630" s="1">
        <v>0.60129999999999995</v>
      </c>
      <c r="H630">
        <v>22</v>
      </c>
      <c r="I630">
        <v>20889</v>
      </c>
    </row>
    <row r="631" spans="1:9" x14ac:dyDescent="0.35">
      <c r="A631" t="s">
        <v>9</v>
      </c>
      <c r="B631" t="s">
        <v>619</v>
      </c>
      <c r="C631" t="s">
        <v>641</v>
      </c>
      <c r="D631" t="str">
        <f>"100303"</f>
        <v>100303</v>
      </c>
      <c r="E631">
        <v>4977</v>
      </c>
      <c r="F631">
        <v>3008</v>
      </c>
      <c r="G631" s="1">
        <v>0.60440000000000005</v>
      </c>
      <c r="H631">
        <v>16</v>
      </c>
      <c r="I631">
        <v>4964</v>
      </c>
    </row>
    <row r="632" spans="1:9" x14ac:dyDescent="0.35">
      <c r="A632" t="s">
        <v>9</v>
      </c>
      <c r="B632" t="s">
        <v>619</v>
      </c>
      <c r="C632" t="s">
        <v>642</v>
      </c>
      <c r="D632" t="str">
        <f>"100304"</f>
        <v>100304</v>
      </c>
      <c r="E632">
        <v>5712</v>
      </c>
      <c r="F632">
        <v>3284</v>
      </c>
      <c r="G632" s="1">
        <v>0.57489999999999997</v>
      </c>
      <c r="H632">
        <v>8</v>
      </c>
      <c r="I632">
        <v>5652</v>
      </c>
    </row>
    <row r="633" spans="1:9" x14ac:dyDescent="0.35">
      <c r="A633" t="s">
        <v>9</v>
      </c>
      <c r="B633" t="s">
        <v>619</v>
      </c>
      <c r="C633" t="s">
        <v>643</v>
      </c>
      <c r="D633" t="str">
        <f>"100305"</f>
        <v>100305</v>
      </c>
      <c r="E633">
        <v>2901</v>
      </c>
      <c r="F633">
        <v>1871</v>
      </c>
      <c r="G633" s="1">
        <v>0.64500000000000002</v>
      </c>
      <c r="H633">
        <v>5</v>
      </c>
      <c r="I633">
        <v>2890</v>
      </c>
    </row>
    <row r="634" spans="1:9" x14ac:dyDescent="0.35">
      <c r="A634" t="s">
        <v>9</v>
      </c>
      <c r="B634" t="s">
        <v>619</v>
      </c>
      <c r="C634" t="s">
        <v>644</v>
      </c>
      <c r="D634" t="str">
        <f>"100401"</f>
        <v>100401</v>
      </c>
      <c r="E634">
        <v>10165</v>
      </c>
      <c r="F634">
        <v>5549</v>
      </c>
      <c r="G634" s="1">
        <v>0.54590000000000005</v>
      </c>
      <c r="H634">
        <v>9</v>
      </c>
      <c r="I634">
        <v>10150</v>
      </c>
    </row>
    <row r="635" spans="1:9" x14ac:dyDescent="0.35">
      <c r="A635" t="s">
        <v>9</v>
      </c>
      <c r="B635" t="s">
        <v>619</v>
      </c>
      <c r="C635" t="s">
        <v>645</v>
      </c>
      <c r="D635" t="str">
        <f>"100402"</f>
        <v>100402</v>
      </c>
      <c r="E635">
        <v>2999</v>
      </c>
      <c r="F635">
        <v>1554</v>
      </c>
      <c r="G635" s="1">
        <v>0.51819999999999999</v>
      </c>
      <c r="H635">
        <v>2</v>
      </c>
      <c r="I635">
        <v>2994</v>
      </c>
    </row>
    <row r="636" spans="1:9" x14ac:dyDescent="0.35">
      <c r="A636" t="s">
        <v>9</v>
      </c>
      <c r="B636" t="s">
        <v>619</v>
      </c>
      <c r="C636" t="s">
        <v>646</v>
      </c>
      <c r="D636" t="str">
        <f>"100403"</f>
        <v>100403</v>
      </c>
      <c r="E636">
        <v>3365</v>
      </c>
      <c r="F636">
        <v>1868</v>
      </c>
      <c r="G636" s="1">
        <v>0.55510000000000004</v>
      </c>
      <c r="H636">
        <v>5</v>
      </c>
      <c r="I636">
        <v>3353</v>
      </c>
    </row>
    <row r="637" spans="1:9" x14ac:dyDescent="0.35">
      <c r="A637" t="s">
        <v>9</v>
      </c>
      <c r="B637" t="s">
        <v>619</v>
      </c>
      <c r="C637" t="s">
        <v>647</v>
      </c>
      <c r="D637" t="str">
        <f>"100404"</f>
        <v>100404</v>
      </c>
      <c r="E637">
        <v>4501</v>
      </c>
      <c r="F637">
        <v>2339</v>
      </c>
      <c r="G637" s="1">
        <v>0.51970000000000005</v>
      </c>
      <c r="H637">
        <v>7</v>
      </c>
      <c r="I637">
        <v>4492</v>
      </c>
    </row>
    <row r="638" spans="1:9" x14ac:dyDescent="0.35">
      <c r="A638" t="s">
        <v>9</v>
      </c>
      <c r="B638" t="s">
        <v>619</v>
      </c>
      <c r="C638" t="s">
        <v>648</v>
      </c>
      <c r="D638" t="str">
        <f>"100405"</f>
        <v>100405</v>
      </c>
      <c r="E638">
        <v>6614</v>
      </c>
      <c r="F638">
        <v>3640</v>
      </c>
      <c r="G638" s="1">
        <v>0.55030000000000001</v>
      </c>
      <c r="H638">
        <v>8</v>
      </c>
      <c r="I638">
        <v>6596</v>
      </c>
    </row>
    <row r="639" spans="1:9" x14ac:dyDescent="0.35">
      <c r="A639" t="s">
        <v>9</v>
      </c>
      <c r="B639" t="s">
        <v>619</v>
      </c>
      <c r="C639" t="s">
        <v>649</v>
      </c>
      <c r="D639" t="str">
        <f>"100406"</f>
        <v>100406</v>
      </c>
      <c r="E639">
        <v>4586</v>
      </c>
      <c r="F639">
        <v>2613</v>
      </c>
      <c r="G639" s="1">
        <v>0.56979999999999997</v>
      </c>
      <c r="H639">
        <v>8</v>
      </c>
      <c r="I639">
        <v>4581</v>
      </c>
    </row>
    <row r="640" spans="1:9" x14ac:dyDescent="0.35">
      <c r="A640" t="s">
        <v>9</v>
      </c>
      <c r="B640" t="s">
        <v>619</v>
      </c>
      <c r="C640" t="s">
        <v>650</v>
      </c>
      <c r="D640" t="str">
        <f>"100407"</f>
        <v>100407</v>
      </c>
      <c r="E640">
        <v>3020</v>
      </c>
      <c r="F640">
        <v>1656</v>
      </c>
      <c r="G640" s="1">
        <v>0.54830000000000001</v>
      </c>
      <c r="H640">
        <v>4</v>
      </c>
      <c r="I640">
        <v>3006</v>
      </c>
    </row>
    <row r="641" spans="1:9" x14ac:dyDescent="0.35">
      <c r="A641" t="s">
        <v>9</v>
      </c>
      <c r="B641" t="s">
        <v>619</v>
      </c>
      <c r="C641" t="s">
        <v>651</v>
      </c>
      <c r="D641" t="str">
        <f>"100408"</f>
        <v>100408</v>
      </c>
      <c r="E641">
        <v>2503</v>
      </c>
      <c r="F641">
        <v>1298</v>
      </c>
      <c r="G641" s="1">
        <v>0.51859999999999995</v>
      </c>
      <c r="H641">
        <v>5</v>
      </c>
      <c r="I641">
        <v>2490</v>
      </c>
    </row>
    <row r="642" spans="1:9" x14ac:dyDescent="0.35">
      <c r="A642" t="s">
        <v>9</v>
      </c>
      <c r="B642" t="s">
        <v>619</v>
      </c>
      <c r="C642" t="s">
        <v>652</v>
      </c>
      <c r="D642" t="str">
        <f>"100501"</f>
        <v>100501</v>
      </c>
      <c r="E642">
        <v>20653</v>
      </c>
      <c r="F642">
        <v>12176</v>
      </c>
      <c r="G642" s="1">
        <v>0.58960000000000001</v>
      </c>
      <c r="H642">
        <v>21</v>
      </c>
      <c r="I642">
        <v>20499</v>
      </c>
    </row>
    <row r="643" spans="1:9" x14ac:dyDescent="0.35">
      <c r="A643" t="s">
        <v>9</v>
      </c>
      <c r="B643" t="s">
        <v>619</v>
      </c>
      <c r="C643" t="s">
        <v>653</v>
      </c>
      <c r="D643" t="str">
        <f>"100502"</f>
        <v>100502</v>
      </c>
      <c r="E643">
        <v>4064</v>
      </c>
      <c r="F643">
        <v>2260</v>
      </c>
      <c r="G643" s="1">
        <v>0.55610000000000004</v>
      </c>
      <c r="H643">
        <v>6</v>
      </c>
      <c r="I643">
        <v>4038</v>
      </c>
    </row>
    <row r="644" spans="1:9" x14ac:dyDescent="0.35">
      <c r="A644" t="s">
        <v>9</v>
      </c>
      <c r="B644" t="s">
        <v>619</v>
      </c>
      <c r="C644" t="s">
        <v>654</v>
      </c>
      <c r="D644" t="str">
        <f>"100503"</f>
        <v>100503</v>
      </c>
      <c r="E644">
        <v>2333</v>
      </c>
      <c r="F644">
        <v>1403</v>
      </c>
      <c r="G644" s="1">
        <v>0.60140000000000005</v>
      </c>
      <c r="H644">
        <v>3</v>
      </c>
      <c r="I644">
        <v>2330</v>
      </c>
    </row>
    <row r="645" spans="1:9" x14ac:dyDescent="0.35">
      <c r="A645" t="s">
        <v>9</v>
      </c>
      <c r="B645" t="s">
        <v>619</v>
      </c>
      <c r="C645" t="s">
        <v>655</v>
      </c>
      <c r="D645" t="str">
        <f>"100504"</f>
        <v>100504</v>
      </c>
      <c r="E645">
        <v>3552</v>
      </c>
      <c r="F645">
        <v>2115</v>
      </c>
      <c r="G645" s="1">
        <v>0.59540000000000004</v>
      </c>
      <c r="H645">
        <v>8</v>
      </c>
      <c r="I645">
        <v>3538</v>
      </c>
    </row>
    <row r="646" spans="1:9" x14ac:dyDescent="0.35">
      <c r="A646" t="s">
        <v>9</v>
      </c>
      <c r="B646" t="s">
        <v>619</v>
      </c>
      <c r="C646" t="s">
        <v>656</v>
      </c>
      <c r="D646" t="str">
        <f>"100505"</f>
        <v>100505</v>
      </c>
      <c r="E646">
        <v>2579</v>
      </c>
      <c r="F646">
        <v>1373</v>
      </c>
      <c r="G646" s="1">
        <v>0.53239999999999998</v>
      </c>
      <c r="H646">
        <v>4</v>
      </c>
      <c r="I646">
        <v>2565</v>
      </c>
    </row>
    <row r="647" spans="1:9" x14ac:dyDescent="0.35">
      <c r="A647" t="s">
        <v>9</v>
      </c>
      <c r="B647" t="s">
        <v>619</v>
      </c>
      <c r="C647" t="s">
        <v>657</v>
      </c>
      <c r="D647" t="str">
        <f>"100506"</f>
        <v>100506</v>
      </c>
      <c r="E647">
        <v>3248</v>
      </c>
      <c r="F647">
        <v>1868</v>
      </c>
      <c r="G647" s="1">
        <v>0.57509999999999994</v>
      </c>
      <c r="H647">
        <v>4</v>
      </c>
      <c r="I647">
        <v>3233</v>
      </c>
    </row>
    <row r="648" spans="1:9" x14ac:dyDescent="0.35">
      <c r="A648" t="s">
        <v>9</v>
      </c>
      <c r="B648" t="s">
        <v>619</v>
      </c>
      <c r="C648" t="s">
        <v>658</v>
      </c>
      <c r="D648" t="str">
        <f>"100507"</f>
        <v>100507</v>
      </c>
      <c r="E648">
        <v>6053</v>
      </c>
      <c r="F648">
        <v>3576</v>
      </c>
      <c r="G648" s="1">
        <v>0.59079999999999999</v>
      </c>
      <c r="H648">
        <v>8</v>
      </c>
      <c r="I648">
        <v>6021</v>
      </c>
    </row>
    <row r="649" spans="1:9" x14ac:dyDescent="0.35">
      <c r="A649" t="s">
        <v>9</v>
      </c>
      <c r="B649" t="s">
        <v>619</v>
      </c>
      <c r="C649" t="s">
        <v>659</v>
      </c>
      <c r="D649" t="str">
        <f>"100508"</f>
        <v>100508</v>
      </c>
      <c r="E649">
        <v>5128</v>
      </c>
      <c r="F649">
        <v>3048</v>
      </c>
      <c r="G649" s="1">
        <v>0.59440000000000004</v>
      </c>
      <c r="H649">
        <v>9</v>
      </c>
      <c r="I649">
        <v>5085</v>
      </c>
    </row>
    <row r="650" spans="1:9" x14ac:dyDescent="0.35">
      <c r="A650" t="s">
        <v>9</v>
      </c>
      <c r="B650" t="s">
        <v>619</v>
      </c>
      <c r="C650" t="s">
        <v>660</v>
      </c>
      <c r="D650" t="str">
        <f>"100509"</f>
        <v>100509</v>
      </c>
      <c r="E650">
        <v>7350</v>
      </c>
      <c r="F650">
        <v>4518</v>
      </c>
      <c r="G650" s="1">
        <v>0.61470000000000002</v>
      </c>
      <c r="H650">
        <v>8</v>
      </c>
      <c r="I650">
        <v>7280</v>
      </c>
    </row>
    <row r="651" spans="1:9" x14ac:dyDescent="0.35">
      <c r="A651" t="s">
        <v>9</v>
      </c>
      <c r="B651" t="s">
        <v>619</v>
      </c>
      <c r="C651" t="s">
        <v>661</v>
      </c>
      <c r="D651" t="str">
        <f>"100510"</f>
        <v>100510</v>
      </c>
      <c r="E651">
        <v>4247</v>
      </c>
      <c r="F651">
        <v>2511</v>
      </c>
      <c r="G651" s="1">
        <v>0.59119999999999995</v>
      </c>
      <c r="H651">
        <v>6</v>
      </c>
      <c r="I651">
        <v>4234</v>
      </c>
    </row>
    <row r="652" spans="1:9" x14ac:dyDescent="0.35">
      <c r="A652" t="s">
        <v>9</v>
      </c>
      <c r="B652" t="s">
        <v>619</v>
      </c>
      <c r="C652" t="s">
        <v>662</v>
      </c>
      <c r="D652" t="str">
        <f>"100602"</f>
        <v>100602</v>
      </c>
      <c r="E652">
        <v>11423</v>
      </c>
      <c r="F652">
        <v>7549</v>
      </c>
      <c r="G652" s="1">
        <v>0.66090000000000004</v>
      </c>
      <c r="H652">
        <v>16</v>
      </c>
      <c r="I652">
        <v>11320</v>
      </c>
    </row>
    <row r="653" spans="1:9" x14ac:dyDescent="0.35">
      <c r="A653" t="s">
        <v>9</v>
      </c>
      <c r="B653" t="s">
        <v>619</v>
      </c>
      <c r="C653" t="s">
        <v>663</v>
      </c>
      <c r="D653" t="str">
        <f>"100603"</f>
        <v>100603</v>
      </c>
      <c r="E653">
        <v>5387</v>
      </c>
      <c r="F653">
        <v>3583</v>
      </c>
      <c r="G653" s="1">
        <v>0.66510000000000002</v>
      </c>
      <c r="H653">
        <v>6</v>
      </c>
      <c r="I653">
        <v>5358</v>
      </c>
    </row>
    <row r="654" spans="1:9" x14ac:dyDescent="0.35">
      <c r="A654" t="s">
        <v>9</v>
      </c>
      <c r="B654" t="s">
        <v>619</v>
      </c>
      <c r="C654" t="s">
        <v>664</v>
      </c>
      <c r="D654" t="str">
        <f>"100607"</f>
        <v>100607</v>
      </c>
      <c r="E654">
        <v>17942</v>
      </c>
      <c r="F654">
        <v>10890</v>
      </c>
      <c r="G654" s="1">
        <v>0.60699999999999998</v>
      </c>
      <c r="H654">
        <v>25</v>
      </c>
      <c r="I654">
        <v>17810</v>
      </c>
    </row>
    <row r="655" spans="1:9" x14ac:dyDescent="0.35">
      <c r="A655" t="s">
        <v>9</v>
      </c>
      <c r="B655" t="s">
        <v>619</v>
      </c>
      <c r="C655" t="s">
        <v>665</v>
      </c>
      <c r="D655" t="str">
        <f>"100608"</f>
        <v>100608</v>
      </c>
      <c r="E655">
        <v>4321</v>
      </c>
      <c r="F655">
        <v>2927</v>
      </c>
      <c r="G655" s="1">
        <v>0.6774</v>
      </c>
      <c r="H655">
        <v>6</v>
      </c>
      <c r="I655">
        <v>4182</v>
      </c>
    </row>
    <row r="656" spans="1:9" x14ac:dyDescent="0.35">
      <c r="A656" t="s">
        <v>9</v>
      </c>
      <c r="B656" t="s">
        <v>619</v>
      </c>
      <c r="C656" t="s">
        <v>666</v>
      </c>
      <c r="D656" t="str">
        <f>"100610"</f>
        <v>100610</v>
      </c>
      <c r="E656">
        <v>8304</v>
      </c>
      <c r="F656">
        <v>5545</v>
      </c>
      <c r="G656" s="1">
        <v>0.66779999999999995</v>
      </c>
      <c r="H656">
        <v>9</v>
      </c>
      <c r="I656">
        <v>8250</v>
      </c>
    </row>
    <row r="657" spans="1:9" x14ac:dyDescent="0.35">
      <c r="A657" t="s">
        <v>9</v>
      </c>
      <c r="B657" t="s">
        <v>619</v>
      </c>
      <c r="C657" t="s">
        <v>667</v>
      </c>
      <c r="D657" t="str">
        <f>"100611"</f>
        <v>100611</v>
      </c>
      <c r="E657">
        <v>9846</v>
      </c>
      <c r="F657">
        <v>6119</v>
      </c>
      <c r="G657" s="1">
        <v>0.62150000000000005</v>
      </c>
      <c r="H657">
        <v>20</v>
      </c>
      <c r="I657">
        <v>9825</v>
      </c>
    </row>
    <row r="658" spans="1:9" x14ac:dyDescent="0.35">
      <c r="A658" t="s">
        <v>9</v>
      </c>
      <c r="B658" t="s">
        <v>619</v>
      </c>
      <c r="C658" t="s">
        <v>668</v>
      </c>
      <c r="D658" t="str">
        <f>"100701"</f>
        <v>100701</v>
      </c>
      <c r="E658">
        <v>4426</v>
      </c>
      <c r="F658">
        <v>2603</v>
      </c>
      <c r="G658" s="1">
        <v>0.58809999999999996</v>
      </c>
      <c r="H658">
        <v>8</v>
      </c>
      <c r="I658">
        <v>4416</v>
      </c>
    </row>
    <row r="659" spans="1:9" x14ac:dyDescent="0.35">
      <c r="A659" t="s">
        <v>9</v>
      </c>
      <c r="B659" t="s">
        <v>619</v>
      </c>
      <c r="C659" t="s">
        <v>669</v>
      </c>
      <c r="D659" t="str">
        <f>"100702"</f>
        <v>100702</v>
      </c>
      <c r="E659">
        <v>7823</v>
      </c>
      <c r="F659">
        <v>4856</v>
      </c>
      <c r="G659" s="1">
        <v>0.62070000000000003</v>
      </c>
      <c r="H659">
        <v>16</v>
      </c>
      <c r="I659">
        <v>7799</v>
      </c>
    </row>
    <row r="660" spans="1:9" x14ac:dyDescent="0.35">
      <c r="A660" t="s">
        <v>9</v>
      </c>
      <c r="B660" t="s">
        <v>619</v>
      </c>
      <c r="C660" t="s">
        <v>670</v>
      </c>
      <c r="D660" t="str">
        <f>"100703"</f>
        <v>100703</v>
      </c>
      <c r="E660">
        <v>3669</v>
      </c>
      <c r="F660">
        <v>2183</v>
      </c>
      <c r="G660" s="1">
        <v>0.59499999999999997</v>
      </c>
      <c r="H660">
        <v>4</v>
      </c>
      <c r="I660">
        <v>3640</v>
      </c>
    </row>
    <row r="661" spans="1:9" x14ac:dyDescent="0.35">
      <c r="A661" t="s">
        <v>9</v>
      </c>
      <c r="B661" t="s">
        <v>619</v>
      </c>
      <c r="C661" t="s">
        <v>671</v>
      </c>
      <c r="D661" t="str">
        <f>"100704"</f>
        <v>100704</v>
      </c>
      <c r="E661">
        <v>24877</v>
      </c>
      <c r="F661">
        <v>15555</v>
      </c>
      <c r="G661" s="1">
        <v>0.62529999999999997</v>
      </c>
      <c r="H661">
        <v>31</v>
      </c>
      <c r="I661">
        <v>24795</v>
      </c>
    </row>
    <row r="662" spans="1:9" x14ac:dyDescent="0.35">
      <c r="A662" t="s">
        <v>9</v>
      </c>
      <c r="B662" t="s">
        <v>619</v>
      </c>
      <c r="C662" t="s">
        <v>672</v>
      </c>
      <c r="D662" t="str">
        <f>"100705"</f>
        <v>100705</v>
      </c>
      <c r="E662">
        <v>3287</v>
      </c>
      <c r="F662">
        <v>2009</v>
      </c>
      <c r="G662" s="1">
        <v>0.61119999999999997</v>
      </c>
      <c r="H662">
        <v>4</v>
      </c>
      <c r="I662">
        <v>3263</v>
      </c>
    </row>
    <row r="663" spans="1:9" x14ac:dyDescent="0.35">
      <c r="A663" t="s">
        <v>9</v>
      </c>
      <c r="B663" t="s">
        <v>619</v>
      </c>
      <c r="C663" t="s">
        <v>673</v>
      </c>
      <c r="D663" t="str">
        <f>"100706"</f>
        <v>100706</v>
      </c>
      <c r="E663">
        <v>2454</v>
      </c>
      <c r="F663">
        <v>1562</v>
      </c>
      <c r="G663" s="1">
        <v>0.63649999999999995</v>
      </c>
      <c r="H663">
        <v>4</v>
      </c>
      <c r="I663">
        <v>2438</v>
      </c>
    </row>
    <row r="664" spans="1:9" x14ac:dyDescent="0.35">
      <c r="A664" t="s">
        <v>9</v>
      </c>
      <c r="B664" t="s">
        <v>619</v>
      </c>
      <c r="C664" t="s">
        <v>674</v>
      </c>
      <c r="D664" t="str">
        <f>"100707"</f>
        <v>100707</v>
      </c>
      <c r="E664">
        <v>5798</v>
      </c>
      <c r="F664">
        <v>3540</v>
      </c>
      <c r="G664" s="1">
        <v>0.61060000000000003</v>
      </c>
      <c r="H664">
        <v>11</v>
      </c>
      <c r="I664">
        <v>5773</v>
      </c>
    </row>
    <row r="665" spans="1:9" x14ac:dyDescent="0.35">
      <c r="A665" t="s">
        <v>9</v>
      </c>
      <c r="B665" t="s">
        <v>619</v>
      </c>
      <c r="C665" t="s">
        <v>675</v>
      </c>
      <c r="D665" t="str">
        <f>"100708"</f>
        <v>100708</v>
      </c>
      <c r="E665">
        <v>4473</v>
      </c>
      <c r="F665">
        <v>2750</v>
      </c>
      <c r="G665" s="1">
        <v>0.61480000000000001</v>
      </c>
      <c r="H665">
        <v>11</v>
      </c>
      <c r="I665">
        <v>4448</v>
      </c>
    </row>
    <row r="666" spans="1:9" x14ac:dyDescent="0.35">
      <c r="A666" t="s">
        <v>9</v>
      </c>
      <c r="B666" t="s">
        <v>619</v>
      </c>
      <c r="C666" t="s">
        <v>676</v>
      </c>
      <c r="D666" t="str">
        <f>"100801"</f>
        <v>100801</v>
      </c>
      <c r="E666">
        <v>14387</v>
      </c>
      <c r="F666">
        <v>8843</v>
      </c>
      <c r="G666" s="1">
        <v>0.61470000000000002</v>
      </c>
      <c r="H666">
        <v>11</v>
      </c>
      <c r="I666">
        <v>14309</v>
      </c>
    </row>
    <row r="667" spans="1:9" x14ac:dyDescent="0.35">
      <c r="A667" t="s">
        <v>9</v>
      </c>
      <c r="B667" t="s">
        <v>619</v>
      </c>
      <c r="C667" t="s">
        <v>677</v>
      </c>
      <c r="D667" t="str">
        <f>"100802"</f>
        <v>100802</v>
      </c>
      <c r="E667">
        <v>46649</v>
      </c>
      <c r="F667">
        <v>26954</v>
      </c>
      <c r="G667" s="1">
        <v>0.57779999999999998</v>
      </c>
      <c r="H667">
        <v>26</v>
      </c>
      <c r="I667">
        <v>46243</v>
      </c>
    </row>
    <row r="668" spans="1:9" x14ac:dyDescent="0.35">
      <c r="A668" t="s">
        <v>9</v>
      </c>
      <c r="B668" t="s">
        <v>619</v>
      </c>
      <c r="C668" t="s">
        <v>678</v>
      </c>
      <c r="D668" t="str">
        <f>"100803"</f>
        <v>100803</v>
      </c>
      <c r="E668">
        <v>3766</v>
      </c>
      <c r="F668">
        <v>2445</v>
      </c>
      <c r="G668" s="1">
        <v>0.6492</v>
      </c>
      <c r="H668">
        <v>5</v>
      </c>
      <c r="I668">
        <v>3746</v>
      </c>
    </row>
    <row r="669" spans="1:9" x14ac:dyDescent="0.35">
      <c r="A669" t="s">
        <v>9</v>
      </c>
      <c r="B669" t="s">
        <v>619</v>
      </c>
      <c r="C669" t="s">
        <v>679</v>
      </c>
      <c r="D669" t="str">
        <f>"100804"</f>
        <v>100804</v>
      </c>
      <c r="E669">
        <v>6163</v>
      </c>
      <c r="F669">
        <v>3878</v>
      </c>
      <c r="G669" s="1">
        <v>0.62919999999999998</v>
      </c>
      <c r="H669">
        <v>6</v>
      </c>
      <c r="I669">
        <v>6081</v>
      </c>
    </row>
    <row r="670" spans="1:9" x14ac:dyDescent="0.35">
      <c r="A670" t="s">
        <v>9</v>
      </c>
      <c r="B670" t="s">
        <v>619</v>
      </c>
      <c r="C670" t="s">
        <v>680</v>
      </c>
      <c r="D670" t="str">
        <f>"100805"</f>
        <v>100805</v>
      </c>
      <c r="E670">
        <v>5978</v>
      </c>
      <c r="F670">
        <v>3717</v>
      </c>
      <c r="G670" s="1">
        <v>0.62180000000000002</v>
      </c>
      <c r="H670">
        <v>6</v>
      </c>
      <c r="I670">
        <v>5914</v>
      </c>
    </row>
    <row r="671" spans="1:9" x14ac:dyDescent="0.35">
      <c r="A671" t="s">
        <v>9</v>
      </c>
      <c r="B671" t="s">
        <v>619</v>
      </c>
      <c r="C671" t="s">
        <v>681</v>
      </c>
      <c r="D671" t="str">
        <f>"100806"</f>
        <v>100806</v>
      </c>
      <c r="E671">
        <v>7117</v>
      </c>
      <c r="F671">
        <v>4247</v>
      </c>
      <c r="G671" s="1">
        <v>0.59670000000000001</v>
      </c>
      <c r="H671">
        <v>6</v>
      </c>
      <c r="I671">
        <v>7063</v>
      </c>
    </row>
    <row r="672" spans="1:9" x14ac:dyDescent="0.35">
      <c r="A672" t="s">
        <v>9</v>
      </c>
      <c r="B672" t="s">
        <v>619</v>
      </c>
      <c r="C672" t="s">
        <v>682</v>
      </c>
      <c r="D672" t="str">
        <f>"100807"</f>
        <v>100807</v>
      </c>
      <c r="E672">
        <v>6259</v>
      </c>
      <c r="F672">
        <v>4334</v>
      </c>
      <c r="G672" s="1">
        <v>0.69240000000000002</v>
      </c>
      <c r="H672">
        <v>5</v>
      </c>
      <c r="I672">
        <v>6193</v>
      </c>
    </row>
    <row r="673" spans="1:9" x14ac:dyDescent="0.35">
      <c r="A673" t="s">
        <v>9</v>
      </c>
      <c r="B673" t="s">
        <v>619</v>
      </c>
      <c r="C673" t="s">
        <v>683</v>
      </c>
      <c r="D673" t="str">
        <f>"100901"</f>
        <v>100901</v>
      </c>
      <c r="E673">
        <v>9138</v>
      </c>
      <c r="F673">
        <v>5275</v>
      </c>
      <c r="G673" s="1">
        <v>0.57730000000000004</v>
      </c>
      <c r="H673">
        <v>7</v>
      </c>
      <c r="I673">
        <v>9099</v>
      </c>
    </row>
    <row r="674" spans="1:9" x14ac:dyDescent="0.35">
      <c r="A674" t="s">
        <v>9</v>
      </c>
      <c r="B674" t="s">
        <v>619</v>
      </c>
      <c r="C674" t="s">
        <v>684</v>
      </c>
      <c r="D674" t="str">
        <f>"100902"</f>
        <v>100902</v>
      </c>
      <c r="E674">
        <v>3120</v>
      </c>
      <c r="F674">
        <v>1797</v>
      </c>
      <c r="G674" s="1">
        <v>0.57599999999999996</v>
      </c>
      <c r="H674">
        <v>3</v>
      </c>
      <c r="I674">
        <v>3108</v>
      </c>
    </row>
    <row r="675" spans="1:9" x14ac:dyDescent="0.35">
      <c r="A675" t="s">
        <v>9</v>
      </c>
      <c r="B675" t="s">
        <v>619</v>
      </c>
      <c r="C675" t="s">
        <v>685</v>
      </c>
      <c r="D675" t="str">
        <f>"100903"</f>
        <v>100903</v>
      </c>
      <c r="E675">
        <v>3575</v>
      </c>
      <c r="F675">
        <v>2209</v>
      </c>
      <c r="G675" s="1">
        <v>0.6179</v>
      </c>
      <c r="H675">
        <v>4</v>
      </c>
      <c r="I675">
        <v>3556</v>
      </c>
    </row>
    <row r="676" spans="1:9" x14ac:dyDescent="0.35">
      <c r="A676" t="s">
        <v>9</v>
      </c>
      <c r="B676" t="s">
        <v>619</v>
      </c>
      <c r="C676" t="s">
        <v>686</v>
      </c>
      <c r="D676" t="str">
        <f>"100904"</f>
        <v>100904</v>
      </c>
      <c r="E676">
        <v>8728</v>
      </c>
      <c r="F676">
        <v>4893</v>
      </c>
      <c r="G676" s="1">
        <v>0.56059999999999999</v>
      </c>
      <c r="H676">
        <v>8</v>
      </c>
      <c r="I676">
        <v>8699</v>
      </c>
    </row>
    <row r="677" spans="1:9" x14ac:dyDescent="0.35">
      <c r="A677" t="s">
        <v>9</v>
      </c>
      <c r="B677" t="s">
        <v>619</v>
      </c>
      <c r="C677" t="s">
        <v>687</v>
      </c>
      <c r="D677" t="str">
        <f>"100905"</f>
        <v>100905</v>
      </c>
      <c r="E677">
        <v>3826</v>
      </c>
      <c r="F677">
        <v>2203</v>
      </c>
      <c r="G677" s="1">
        <v>0.57579999999999998</v>
      </c>
      <c r="H677">
        <v>7</v>
      </c>
      <c r="I677">
        <v>3815</v>
      </c>
    </row>
    <row r="678" spans="1:9" x14ac:dyDescent="0.35">
      <c r="A678" t="s">
        <v>9</v>
      </c>
      <c r="B678" t="s">
        <v>619</v>
      </c>
      <c r="C678" t="s">
        <v>688</v>
      </c>
      <c r="D678" t="str">
        <f>"100906"</f>
        <v>100906</v>
      </c>
      <c r="E678">
        <v>3715</v>
      </c>
      <c r="F678">
        <v>2157</v>
      </c>
      <c r="G678" s="1">
        <v>0.5806</v>
      </c>
      <c r="H678">
        <v>4</v>
      </c>
      <c r="I678">
        <v>3703</v>
      </c>
    </row>
    <row r="679" spans="1:9" x14ac:dyDescent="0.35">
      <c r="A679" t="s">
        <v>9</v>
      </c>
      <c r="B679" t="s">
        <v>619</v>
      </c>
      <c r="C679" t="s">
        <v>689</v>
      </c>
      <c r="D679" t="str">
        <f>"100907"</f>
        <v>100907</v>
      </c>
      <c r="E679">
        <v>3537</v>
      </c>
      <c r="F679">
        <v>1961</v>
      </c>
      <c r="G679" s="1">
        <v>0.5544</v>
      </c>
      <c r="H679">
        <v>4</v>
      </c>
      <c r="I679">
        <v>3531</v>
      </c>
    </row>
    <row r="680" spans="1:9" x14ac:dyDescent="0.35">
      <c r="A680" t="s">
        <v>9</v>
      </c>
      <c r="B680" t="s">
        <v>619</v>
      </c>
      <c r="C680" t="s">
        <v>690</v>
      </c>
      <c r="D680" t="str">
        <f>"100908"</f>
        <v>100908</v>
      </c>
      <c r="E680">
        <v>3480</v>
      </c>
      <c r="F680">
        <v>2070</v>
      </c>
      <c r="G680" s="1">
        <v>0.5948</v>
      </c>
      <c r="H680">
        <v>5</v>
      </c>
      <c r="I680">
        <v>3458</v>
      </c>
    </row>
    <row r="681" spans="1:9" x14ac:dyDescent="0.35">
      <c r="A681" t="s">
        <v>9</v>
      </c>
      <c r="B681" t="s">
        <v>619</v>
      </c>
      <c r="C681" t="s">
        <v>345</v>
      </c>
      <c r="D681" t="str">
        <f>"101001"</f>
        <v>101001</v>
      </c>
      <c r="E681">
        <v>3483</v>
      </c>
      <c r="F681">
        <v>2093</v>
      </c>
      <c r="G681" s="1">
        <v>0.60089999999999999</v>
      </c>
      <c r="H681">
        <v>6</v>
      </c>
      <c r="I681">
        <v>3463</v>
      </c>
    </row>
    <row r="682" spans="1:9" x14ac:dyDescent="0.35">
      <c r="A682" t="s">
        <v>9</v>
      </c>
      <c r="B682" t="s">
        <v>619</v>
      </c>
      <c r="C682" t="s">
        <v>691</v>
      </c>
      <c r="D682" t="str">
        <f>"101002"</f>
        <v>101002</v>
      </c>
      <c r="E682">
        <v>3183</v>
      </c>
      <c r="F682">
        <v>1922</v>
      </c>
      <c r="G682" s="1">
        <v>0.6038</v>
      </c>
      <c r="H682">
        <v>6</v>
      </c>
      <c r="I682">
        <v>3147</v>
      </c>
    </row>
    <row r="683" spans="1:9" x14ac:dyDescent="0.35">
      <c r="A683" t="s">
        <v>9</v>
      </c>
      <c r="B683" t="s">
        <v>619</v>
      </c>
      <c r="C683" t="s">
        <v>692</v>
      </c>
      <c r="D683" t="str">
        <f>"101003"</f>
        <v>101003</v>
      </c>
      <c r="E683">
        <v>6471</v>
      </c>
      <c r="F683">
        <v>3767</v>
      </c>
      <c r="G683" s="1">
        <v>0.58209999999999995</v>
      </c>
      <c r="H683">
        <v>10</v>
      </c>
      <c r="I683">
        <v>6451</v>
      </c>
    </row>
    <row r="684" spans="1:9" x14ac:dyDescent="0.35">
      <c r="A684" t="s">
        <v>9</v>
      </c>
      <c r="B684" t="s">
        <v>619</v>
      </c>
      <c r="C684" t="s">
        <v>693</v>
      </c>
      <c r="D684" t="str">
        <f>"101004"</f>
        <v>101004</v>
      </c>
      <c r="E684">
        <v>4673</v>
      </c>
      <c r="F684">
        <v>2768</v>
      </c>
      <c r="G684" s="1">
        <v>0.59230000000000005</v>
      </c>
      <c r="H684">
        <v>6</v>
      </c>
      <c r="I684">
        <v>4654</v>
      </c>
    </row>
    <row r="685" spans="1:9" x14ac:dyDescent="0.35">
      <c r="A685" t="s">
        <v>9</v>
      </c>
      <c r="B685" t="s">
        <v>619</v>
      </c>
      <c r="C685" t="s">
        <v>694</v>
      </c>
      <c r="D685" t="str">
        <f>"101005"</f>
        <v>101005</v>
      </c>
      <c r="E685">
        <v>2703</v>
      </c>
      <c r="F685">
        <v>1548</v>
      </c>
      <c r="G685" s="1">
        <v>0.57269999999999999</v>
      </c>
      <c r="H685">
        <v>4</v>
      </c>
      <c r="I685">
        <v>2683</v>
      </c>
    </row>
    <row r="686" spans="1:9" x14ac:dyDescent="0.35">
      <c r="A686" t="s">
        <v>9</v>
      </c>
      <c r="B686" t="s">
        <v>619</v>
      </c>
      <c r="C686" t="s">
        <v>695</v>
      </c>
      <c r="D686" t="str">
        <f>"101006"</f>
        <v>101006</v>
      </c>
      <c r="E686">
        <v>9815</v>
      </c>
      <c r="F686">
        <v>5919</v>
      </c>
      <c r="G686" s="1">
        <v>0.60309999999999997</v>
      </c>
      <c r="H686">
        <v>9</v>
      </c>
      <c r="I686">
        <v>9740</v>
      </c>
    </row>
    <row r="687" spans="1:9" x14ac:dyDescent="0.35">
      <c r="A687" t="s">
        <v>9</v>
      </c>
      <c r="B687" t="s">
        <v>619</v>
      </c>
      <c r="C687" t="s">
        <v>696</v>
      </c>
      <c r="D687" t="str">
        <f>"101007"</f>
        <v>101007</v>
      </c>
      <c r="E687">
        <v>2775</v>
      </c>
      <c r="F687">
        <v>1551</v>
      </c>
      <c r="G687" s="1">
        <v>0.55889999999999995</v>
      </c>
      <c r="H687">
        <v>4</v>
      </c>
      <c r="I687">
        <v>2751</v>
      </c>
    </row>
    <row r="688" spans="1:9" x14ac:dyDescent="0.35">
      <c r="A688" t="s">
        <v>9</v>
      </c>
      <c r="B688" t="s">
        <v>619</v>
      </c>
      <c r="C688" t="s">
        <v>697</v>
      </c>
      <c r="D688" t="str">
        <f>"101008"</f>
        <v>101008</v>
      </c>
      <c r="E688">
        <v>9197</v>
      </c>
      <c r="F688">
        <v>5192</v>
      </c>
      <c r="G688" s="1">
        <v>0.5645</v>
      </c>
      <c r="H688">
        <v>8</v>
      </c>
      <c r="I688">
        <v>9153</v>
      </c>
    </row>
    <row r="689" spans="1:9" x14ac:dyDescent="0.35">
      <c r="A689" t="s">
        <v>9</v>
      </c>
      <c r="B689" t="s">
        <v>619</v>
      </c>
      <c r="C689" t="s">
        <v>698</v>
      </c>
      <c r="D689" t="str">
        <f>"101009"</f>
        <v>101009</v>
      </c>
      <c r="E689">
        <v>12576</v>
      </c>
      <c r="F689">
        <v>7473</v>
      </c>
      <c r="G689" s="1">
        <v>0.59419999999999995</v>
      </c>
      <c r="H689">
        <v>12</v>
      </c>
      <c r="I689">
        <v>12504</v>
      </c>
    </row>
    <row r="690" spans="1:9" x14ac:dyDescent="0.35">
      <c r="A690" t="s">
        <v>9</v>
      </c>
      <c r="B690" t="s">
        <v>619</v>
      </c>
      <c r="C690" t="s">
        <v>699</v>
      </c>
      <c r="D690" t="str">
        <f>"101010"</f>
        <v>101010</v>
      </c>
      <c r="E690">
        <v>9107</v>
      </c>
      <c r="F690">
        <v>5313</v>
      </c>
      <c r="G690" s="1">
        <v>0.58340000000000003</v>
      </c>
      <c r="H690">
        <v>12</v>
      </c>
      <c r="I690">
        <v>9073</v>
      </c>
    </row>
    <row r="691" spans="1:9" x14ac:dyDescent="0.35">
      <c r="A691" t="s">
        <v>9</v>
      </c>
      <c r="B691" t="s">
        <v>619</v>
      </c>
      <c r="C691" t="s">
        <v>700</v>
      </c>
      <c r="D691" t="str">
        <f>"101011"</f>
        <v>101011</v>
      </c>
      <c r="E691">
        <v>6053</v>
      </c>
      <c r="F691">
        <v>3785</v>
      </c>
      <c r="G691" s="1">
        <v>0.62529999999999997</v>
      </c>
      <c r="H691">
        <v>10</v>
      </c>
      <c r="I691">
        <v>5937</v>
      </c>
    </row>
    <row r="692" spans="1:9" x14ac:dyDescent="0.35">
      <c r="A692" t="s">
        <v>9</v>
      </c>
      <c r="B692" t="s">
        <v>619</v>
      </c>
      <c r="C692" t="s">
        <v>701</v>
      </c>
      <c r="D692" t="str">
        <f>"101101"</f>
        <v>101101</v>
      </c>
      <c r="E692">
        <v>3267</v>
      </c>
      <c r="F692">
        <v>1918</v>
      </c>
      <c r="G692" s="1">
        <v>0.58709999999999996</v>
      </c>
      <c r="H692">
        <v>5</v>
      </c>
      <c r="I692">
        <v>3244</v>
      </c>
    </row>
    <row r="693" spans="1:9" x14ac:dyDescent="0.35">
      <c r="A693" t="s">
        <v>9</v>
      </c>
      <c r="B693" t="s">
        <v>619</v>
      </c>
      <c r="C693" t="s">
        <v>702</v>
      </c>
      <c r="D693" t="str">
        <f>"101102"</f>
        <v>101102</v>
      </c>
      <c r="E693">
        <v>2836</v>
      </c>
      <c r="F693">
        <v>1569</v>
      </c>
      <c r="G693" s="1">
        <v>0.55320000000000003</v>
      </c>
      <c r="H693">
        <v>5</v>
      </c>
      <c r="I693">
        <v>2817</v>
      </c>
    </row>
    <row r="694" spans="1:9" x14ac:dyDescent="0.35">
      <c r="A694" t="s">
        <v>9</v>
      </c>
      <c r="B694" t="s">
        <v>619</v>
      </c>
      <c r="C694" t="s">
        <v>703</v>
      </c>
      <c r="D694" t="str">
        <f>"101103"</f>
        <v>101103</v>
      </c>
      <c r="E694">
        <v>11783</v>
      </c>
      <c r="F694">
        <v>6821</v>
      </c>
      <c r="G694" s="1">
        <v>0.57889999999999997</v>
      </c>
      <c r="H694">
        <v>19</v>
      </c>
      <c r="I694">
        <v>11646</v>
      </c>
    </row>
    <row r="695" spans="1:9" x14ac:dyDescent="0.35">
      <c r="A695" t="s">
        <v>9</v>
      </c>
      <c r="B695" t="s">
        <v>619</v>
      </c>
      <c r="C695" t="s">
        <v>704</v>
      </c>
      <c r="D695" t="str">
        <f>"101104"</f>
        <v>101104</v>
      </c>
      <c r="E695">
        <v>5609</v>
      </c>
      <c r="F695">
        <v>3372</v>
      </c>
      <c r="G695" s="1">
        <v>0.60119999999999996</v>
      </c>
      <c r="H695">
        <v>8</v>
      </c>
      <c r="I695">
        <v>5491</v>
      </c>
    </row>
    <row r="696" spans="1:9" x14ac:dyDescent="0.35">
      <c r="A696" t="s">
        <v>9</v>
      </c>
      <c r="B696" t="s">
        <v>619</v>
      </c>
      <c r="C696" t="s">
        <v>705</v>
      </c>
      <c r="D696" t="str">
        <f>"101105"</f>
        <v>101105</v>
      </c>
      <c r="E696">
        <v>4816</v>
      </c>
      <c r="F696">
        <v>2584</v>
      </c>
      <c r="G696" s="1">
        <v>0.53649999999999998</v>
      </c>
      <c r="H696">
        <v>9</v>
      </c>
      <c r="I696">
        <v>4805</v>
      </c>
    </row>
    <row r="697" spans="1:9" x14ac:dyDescent="0.35">
      <c r="A697" t="s">
        <v>9</v>
      </c>
      <c r="B697" t="s">
        <v>619</v>
      </c>
      <c r="C697" t="s">
        <v>706</v>
      </c>
      <c r="D697" t="str">
        <f>"101106"</f>
        <v>101106</v>
      </c>
      <c r="E697">
        <v>3903</v>
      </c>
      <c r="F697">
        <v>2163</v>
      </c>
      <c r="G697" s="1">
        <v>0.55420000000000003</v>
      </c>
      <c r="H697">
        <v>6</v>
      </c>
      <c r="I697">
        <v>3888</v>
      </c>
    </row>
    <row r="698" spans="1:9" x14ac:dyDescent="0.35">
      <c r="A698" t="s">
        <v>9</v>
      </c>
      <c r="B698" t="s">
        <v>619</v>
      </c>
      <c r="C698" t="s">
        <v>707</v>
      </c>
      <c r="D698" t="str">
        <f>"101201"</f>
        <v>101201</v>
      </c>
      <c r="E698">
        <v>33702</v>
      </c>
      <c r="F698">
        <v>18664</v>
      </c>
      <c r="G698" s="1">
        <v>0.55379999999999996</v>
      </c>
      <c r="H698">
        <v>22</v>
      </c>
      <c r="I698">
        <v>33495</v>
      </c>
    </row>
    <row r="699" spans="1:9" x14ac:dyDescent="0.35">
      <c r="A699" t="s">
        <v>9</v>
      </c>
      <c r="B699" t="s">
        <v>619</v>
      </c>
      <c r="C699" t="s">
        <v>708</v>
      </c>
      <c r="D699" t="str">
        <f>"101202"</f>
        <v>101202</v>
      </c>
      <c r="E699">
        <v>3343</v>
      </c>
      <c r="F699">
        <v>2004</v>
      </c>
      <c r="G699" s="1">
        <v>0.59950000000000003</v>
      </c>
      <c r="H699">
        <v>4</v>
      </c>
      <c r="I699">
        <v>3327</v>
      </c>
    </row>
    <row r="700" spans="1:9" x14ac:dyDescent="0.35">
      <c r="A700" t="s">
        <v>9</v>
      </c>
      <c r="B700" t="s">
        <v>619</v>
      </c>
      <c r="C700" t="s">
        <v>709</v>
      </c>
      <c r="D700" t="str">
        <f>"101203"</f>
        <v>101203</v>
      </c>
      <c r="E700">
        <v>4640</v>
      </c>
      <c r="F700">
        <v>2461</v>
      </c>
      <c r="G700" s="1">
        <v>0.53039999999999998</v>
      </c>
      <c r="H700">
        <v>7</v>
      </c>
      <c r="I700">
        <v>4630</v>
      </c>
    </row>
    <row r="701" spans="1:9" x14ac:dyDescent="0.35">
      <c r="A701" t="s">
        <v>9</v>
      </c>
      <c r="B701" t="s">
        <v>619</v>
      </c>
      <c r="C701" t="s">
        <v>710</v>
      </c>
      <c r="D701" t="str">
        <f>"101204"</f>
        <v>101204</v>
      </c>
      <c r="E701">
        <v>4496</v>
      </c>
      <c r="F701">
        <v>2665</v>
      </c>
      <c r="G701" s="1">
        <v>0.5927</v>
      </c>
      <c r="H701">
        <v>7</v>
      </c>
      <c r="I701">
        <v>4450</v>
      </c>
    </row>
    <row r="702" spans="1:9" x14ac:dyDescent="0.35">
      <c r="A702" t="s">
        <v>9</v>
      </c>
      <c r="B702" t="s">
        <v>619</v>
      </c>
      <c r="C702" t="s">
        <v>711</v>
      </c>
      <c r="D702" t="str">
        <f>"101205"</f>
        <v>101205</v>
      </c>
      <c r="E702">
        <v>4466</v>
      </c>
      <c r="F702">
        <v>2622</v>
      </c>
      <c r="G702" s="1">
        <v>0.58709999999999996</v>
      </c>
      <c r="H702">
        <v>7</v>
      </c>
      <c r="I702">
        <v>4439</v>
      </c>
    </row>
    <row r="703" spans="1:9" x14ac:dyDescent="0.35">
      <c r="A703" t="s">
        <v>9</v>
      </c>
      <c r="B703" t="s">
        <v>619</v>
      </c>
      <c r="C703" t="s">
        <v>712</v>
      </c>
      <c r="D703" t="str">
        <f>"101206"</f>
        <v>101206</v>
      </c>
      <c r="E703">
        <v>3393</v>
      </c>
      <c r="F703">
        <v>1917</v>
      </c>
      <c r="G703" s="1">
        <v>0.56499999999999995</v>
      </c>
      <c r="H703">
        <v>5</v>
      </c>
      <c r="I703">
        <v>3384</v>
      </c>
    </row>
    <row r="704" spans="1:9" x14ac:dyDescent="0.35">
      <c r="A704" t="s">
        <v>9</v>
      </c>
      <c r="B704" t="s">
        <v>619</v>
      </c>
      <c r="C704" t="s">
        <v>713</v>
      </c>
      <c r="D704" t="str">
        <f>"101207"</f>
        <v>101207</v>
      </c>
      <c r="E704">
        <v>3496</v>
      </c>
      <c r="F704">
        <v>1980</v>
      </c>
      <c r="G704" s="1">
        <v>0.56640000000000001</v>
      </c>
      <c r="H704">
        <v>7</v>
      </c>
      <c r="I704">
        <v>3484</v>
      </c>
    </row>
    <row r="705" spans="1:9" x14ac:dyDescent="0.35">
      <c r="A705" t="s">
        <v>9</v>
      </c>
      <c r="B705" t="s">
        <v>619</v>
      </c>
      <c r="C705" t="s">
        <v>714</v>
      </c>
      <c r="D705" t="str">
        <f>"101208"</f>
        <v>101208</v>
      </c>
      <c r="E705">
        <v>3246</v>
      </c>
      <c r="F705">
        <v>1887</v>
      </c>
      <c r="G705" s="1">
        <v>0.58130000000000004</v>
      </c>
      <c r="H705">
        <v>7</v>
      </c>
      <c r="I705">
        <v>3238</v>
      </c>
    </row>
    <row r="706" spans="1:9" x14ac:dyDescent="0.35">
      <c r="A706" t="s">
        <v>9</v>
      </c>
      <c r="B706" t="s">
        <v>619</v>
      </c>
      <c r="C706" t="s">
        <v>715</v>
      </c>
      <c r="D706" t="str">
        <f>"101209"</f>
        <v>101209</v>
      </c>
      <c r="E706">
        <v>3607</v>
      </c>
      <c r="F706">
        <v>2052</v>
      </c>
      <c r="G706" s="1">
        <v>0.56889999999999996</v>
      </c>
      <c r="H706">
        <v>4</v>
      </c>
      <c r="I706">
        <v>3579</v>
      </c>
    </row>
    <row r="707" spans="1:9" x14ac:dyDescent="0.35">
      <c r="A707" t="s">
        <v>9</v>
      </c>
      <c r="B707" t="s">
        <v>619</v>
      </c>
      <c r="C707" t="s">
        <v>716</v>
      </c>
      <c r="D707" t="str">
        <f>"101210"</f>
        <v>101210</v>
      </c>
      <c r="E707">
        <v>3164</v>
      </c>
      <c r="F707">
        <v>1865</v>
      </c>
      <c r="G707" s="1">
        <v>0.58940000000000003</v>
      </c>
      <c r="H707">
        <v>7</v>
      </c>
      <c r="I707">
        <v>3128</v>
      </c>
    </row>
    <row r="708" spans="1:9" x14ac:dyDescent="0.35">
      <c r="A708" t="s">
        <v>9</v>
      </c>
      <c r="B708" t="s">
        <v>619</v>
      </c>
      <c r="C708" t="s">
        <v>717</v>
      </c>
      <c r="D708" t="str">
        <f>"101211"</f>
        <v>101211</v>
      </c>
      <c r="E708">
        <v>5378</v>
      </c>
      <c r="F708">
        <v>3052</v>
      </c>
      <c r="G708" s="1">
        <v>0.5675</v>
      </c>
      <c r="H708">
        <v>5</v>
      </c>
      <c r="I708">
        <v>5316</v>
      </c>
    </row>
    <row r="709" spans="1:9" x14ac:dyDescent="0.35">
      <c r="A709" t="s">
        <v>9</v>
      </c>
      <c r="B709" t="s">
        <v>619</v>
      </c>
      <c r="C709" t="s">
        <v>718</v>
      </c>
      <c r="D709" t="str">
        <f>"101212"</f>
        <v>101212</v>
      </c>
      <c r="E709">
        <v>4212</v>
      </c>
      <c r="F709">
        <v>2406</v>
      </c>
      <c r="G709" s="1">
        <v>0.57120000000000004</v>
      </c>
      <c r="H709">
        <v>7</v>
      </c>
      <c r="I709">
        <v>4200</v>
      </c>
    </row>
    <row r="710" spans="1:9" x14ac:dyDescent="0.35">
      <c r="A710" t="s">
        <v>9</v>
      </c>
      <c r="B710" t="s">
        <v>619</v>
      </c>
      <c r="C710" t="s">
        <v>719</v>
      </c>
      <c r="D710" t="str">
        <f>"101213"</f>
        <v>101213</v>
      </c>
      <c r="E710">
        <v>3525</v>
      </c>
      <c r="F710">
        <v>1977</v>
      </c>
      <c r="G710" s="1">
        <v>0.56089999999999995</v>
      </c>
      <c r="H710">
        <v>7</v>
      </c>
      <c r="I710">
        <v>3497</v>
      </c>
    </row>
    <row r="711" spans="1:9" x14ac:dyDescent="0.35">
      <c r="A711" t="s">
        <v>9</v>
      </c>
      <c r="B711" t="s">
        <v>619</v>
      </c>
      <c r="C711" t="s">
        <v>720</v>
      </c>
      <c r="D711" t="str">
        <f>"101214"</f>
        <v>101214</v>
      </c>
      <c r="E711">
        <v>4073</v>
      </c>
      <c r="F711">
        <v>2301</v>
      </c>
      <c r="G711" s="1">
        <v>0.56489999999999996</v>
      </c>
      <c r="H711">
        <v>6</v>
      </c>
      <c r="I711">
        <v>3987</v>
      </c>
    </row>
    <row r="712" spans="1:9" x14ac:dyDescent="0.35">
      <c r="A712" t="s">
        <v>9</v>
      </c>
      <c r="B712" t="s">
        <v>619</v>
      </c>
      <c r="C712" t="s">
        <v>721</v>
      </c>
      <c r="D712" t="str">
        <f>"101301"</f>
        <v>101301</v>
      </c>
      <c r="E712">
        <v>12778</v>
      </c>
      <c r="F712">
        <v>7598</v>
      </c>
      <c r="G712" s="1">
        <v>0.59460000000000002</v>
      </c>
      <c r="H712">
        <v>8</v>
      </c>
      <c r="I712">
        <v>12738</v>
      </c>
    </row>
    <row r="713" spans="1:9" x14ac:dyDescent="0.35">
      <c r="A713" t="s">
        <v>9</v>
      </c>
      <c r="B713" t="s">
        <v>619</v>
      </c>
      <c r="C713" t="s">
        <v>722</v>
      </c>
      <c r="D713" t="str">
        <f>"101302"</f>
        <v>101302</v>
      </c>
      <c r="E713">
        <v>8660</v>
      </c>
      <c r="F713">
        <v>4362</v>
      </c>
      <c r="G713" s="1">
        <v>0.50370000000000004</v>
      </c>
      <c r="H713">
        <v>12</v>
      </c>
      <c r="I713">
        <v>8628</v>
      </c>
    </row>
    <row r="714" spans="1:9" x14ac:dyDescent="0.35">
      <c r="A714" t="s">
        <v>9</v>
      </c>
      <c r="B714" t="s">
        <v>619</v>
      </c>
      <c r="C714" t="s">
        <v>723</v>
      </c>
      <c r="D714" t="str">
        <f>"101303"</f>
        <v>101303</v>
      </c>
      <c r="E714">
        <v>3115</v>
      </c>
      <c r="F714">
        <v>1786</v>
      </c>
      <c r="G714" s="1">
        <v>0.57340000000000002</v>
      </c>
      <c r="H714">
        <v>5</v>
      </c>
      <c r="I714">
        <v>3104</v>
      </c>
    </row>
    <row r="715" spans="1:9" x14ac:dyDescent="0.35">
      <c r="A715" t="s">
        <v>9</v>
      </c>
      <c r="B715" t="s">
        <v>619</v>
      </c>
      <c r="C715" t="s">
        <v>724</v>
      </c>
      <c r="D715" t="str">
        <f>"101304"</f>
        <v>101304</v>
      </c>
      <c r="E715">
        <v>6840</v>
      </c>
      <c r="F715">
        <v>4173</v>
      </c>
      <c r="G715" s="1">
        <v>0.61009999999999998</v>
      </c>
      <c r="H715">
        <v>6</v>
      </c>
      <c r="I715">
        <v>6819</v>
      </c>
    </row>
    <row r="716" spans="1:9" x14ac:dyDescent="0.35">
      <c r="A716" t="s">
        <v>9</v>
      </c>
      <c r="B716" t="s">
        <v>619</v>
      </c>
      <c r="C716" t="s">
        <v>725</v>
      </c>
      <c r="D716" t="str">
        <f>"101305"</f>
        <v>101305</v>
      </c>
      <c r="E716">
        <v>1453</v>
      </c>
      <c r="F716">
        <v>779</v>
      </c>
      <c r="G716" s="1">
        <v>0.53610000000000002</v>
      </c>
      <c r="H716">
        <v>2</v>
      </c>
      <c r="I716">
        <v>1429</v>
      </c>
    </row>
    <row r="717" spans="1:9" x14ac:dyDescent="0.35">
      <c r="A717" t="s">
        <v>9</v>
      </c>
      <c r="B717" t="s">
        <v>619</v>
      </c>
      <c r="C717" t="s">
        <v>726</v>
      </c>
      <c r="D717" t="str">
        <f>"101306"</f>
        <v>101306</v>
      </c>
      <c r="E717">
        <v>4212</v>
      </c>
      <c r="F717">
        <v>1982</v>
      </c>
      <c r="G717" s="1">
        <v>0.47060000000000002</v>
      </c>
      <c r="H717">
        <v>4</v>
      </c>
      <c r="I717">
        <v>4187</v>
      </c>
    </row>
    <row r="718" spans="1:9" x14ac:dyDescent="0.35">
      <c r="A718" t="s">
        <v>9</v>
      </c>
      <c r="B718" t="s">
        <v>619</v>
      </c>
      <c r="C718" t="s">
        <v>727</v>
      </c>
      <c r="D718" t="str">
        <f>"101401"</f>
        <v>101401</v>
      </c>
      <c r="E718">
        <v>30199</v>
      </c>
      <c r="F718">
        <v>18156</v>
      </c>
      <c r="G718" s="1">
        <v>0.60119999999999996</v>
      </c>
      <c r="H718">
        <v>23</v>
      </c>
      <c r="I718">
        <v>30077</v>
      </c>
    </row>
    <row r="719" spans="1:9" x14ac:dyDescent="0.35">
      <c r="A719" t="s">
        <v>9</v>
      </c>
      <c r="B719" t="s">
        <v>619</v>
      </c>
      <c r="C719" t="s">
        <v>728</v>
      </c>
      <c r="D719" t="str">
        <f>"101402"</f>
        <v>101402</v>
      </c>
      <c r="E719">
        <v>10979</v>
      </c>
      <c r="F719">
        <v>6118</v>
      </c>
      <c r="G719" s="1">
        <v>0.55720000000000003</v>
      </c>
      <c r="H719">
        <v>12</v>
      </c>
      <c r="I719">
        <v>10925</v>
      </c>
    </row>
    <row r="720" spans="1:9" x14ac:dyDescent="0.35">
      <c r="A720" t="s">
        <v>9</v>
      </c>
      <c r="B720" t="s">
        <v>619</v>
      </c>
      <c r="C720" t="s">
        <v>729</v>
      </c>
      <c r="D720" t="str">
        <f>"101403"</f>
        <v>101403</v>
      </c>
      <c r="E720">
        <v>3320</v>
      </c>
      <c r="F720">
        <v>1883</v>
      </c>
      <c r="G720" s="1">
        <v>0.56720000000000004</v>
      </c>
      <c r="H720">
        <v>4</v>
      </c>
      <c r="I720">
        <v>3309</v>
      </c>
    </row>
    <row r="721" spans="1:9" x14ac:dyDescent="0.35">
      <c r="A721" t="s">
        <v>9</v>
      </c>
      <c r="B721" t="s">
        <v>619</v>
      </c>
      <c r="C721" t="s">
        <v>730</v>
      </c>
      <c r="D721" t="str">
        <f>"101404"</f>
        <v>101404</v>
      </c>
      <c r="E721">
        <v>4888</v>
      </c>
      <c r="F721">
        <v>2762</v>
      </c>
      <c r="G721" s="1">
        <v>0.56510000000000005</v>
      </c>
      <c r="H721">
        <v>5</v>
      </c>
      <c r="I721">
        <v>4877</v>
      </c>
    </row>
    <row r="722" spans="1:9" x14ac:dyDescent="0.35">
      <c r="A722" t="s">
        <v>9</v>
      </c>
      <c r="B722" t="s">
        <v>619</v>
      </c>
      <c r="C722" t="s">
        <v>731</v>
      </c>
      <c r="D722" t="str">
        <f>"101405"</f>
        <v>101405</v>
      </c>
      <c r="E722">
        <v>4243</v>
      </c>
      <c r="F722">
        <v>2348</v>
      </c>
      <c r="G722" s="1">
        <v>0.5534</v>
      </c>
      <c r="H722">
        <v>9</v>
      </c>
      <c r="I722">
        <v>4233</v>
      </c>
    </row>
    <row r="723" spans="1:9" x14ac:dyDescent="0.35">
      <c r="A723" t="s">
        <v>9</v>
      </c>
      <c r="B723" t="s">
        <v>619</v>
      </c>
      <c r="C723" t="s">
        <v>732</v>
      </c>
      <c r="D723" t="str">
        <f>"101406"</f>
        <v>101406</v>
      </c>
      <c r="E723">
        <v>4153</v>
      </c>
      <c r="F723">
        <v>2157</v>
      </c>
      <c r="G723" s="1">
        <v>0.51939999999999997</v>
      </c>
      <c r="H723">
        <v>7</v>
      </c>
      <c r="I723">
        <v>4149</v>
      </c>
    </row>
    <row r="724" spans="1:9" x14ac:dyDescent="0.35">
      <c r="A724" t="s">
        <v>9</v>
      </c>
      <c r="B724" t="s">
        <v>619</v>
      </c>
      <c r="C724" t="s">
        <v>733</v>
      </c>
      <c r="D724" t="str">
        <f>"101407"</f>
        <v>101407</v>
      </c>
      <c r="E724">
        <v>2186</v>
      </c>
      <c r="F724">
        <v>1230</v>
      </c>
      <c r="G724" s="1">
        <v>0.56269999999999998</v>
      </c>
      <c r="H724">
        <v>5</v>
      </c>
      <c r="I724">
        <v>2171</v>
      </c>
    </row>
    <row r="725" spans="1:9" x14ac:dyDescent="0.35">
      <c r="A725" t="s">
        <v>9</v>
      </c>
      <c r="B725" t="s">
        <v>619</v>
      </c>
      <c r="C725" t="s">
        <v>734</v>
      </c>
      <c r="D725" t="str">
        <f>"101408"</f>
        <v>101408</v>
      </c>
      <c r="E725">
        <v>8243</v>
      </c>
      <c r="F725">
        <v>4783</v>
      </c>
      <c r="G725" s="1">
        <v>0.58020000000000005</v>
      </c>
      <c r="H725">
        <v>7</v>
      </c>
      <c r="I725">
        <v>8130</v>
      </c>
    </row>
    <row r="726" spans="1:9" x14ac:dyDescent="0.35">
      <c r="A726" t="s">
        <v>9</v>
      </c>
      <c r="B726" t="s">
        <v>619</v>
      </c>
      <c r="C726" t="s">
        <v>735</v>
      </c>
      <c r="D726" t="str">
        <f>"101409"</f>
        <v>101409</v>
      </c>
      <c r="E726">
        <v>9566</v>
      </c>
      <c r="F726">
        <v>5173</v>
      </c>
      <c r="G726" s="1">
        <v>0.54079999999999995</v>
      </c>
      <c r="H726">
        <v>11</v>
      </c>
      <c r="I726">
        <v>9515</v>
      </c>
    </row>
    <row r="727" spans="1:9" x14ac:dyDescent="0.35">
      <c r="A727" t="s">
        <v>9</v>
      </c>
      <c r="B727" t="s">
        <v>619</v>
      </c>
      <c r="C727" t="s">
        <v>736</v>
      </c>
      <c r="D727" t="str">
        <f>"101410"</f>
        <v>101410</v>
      </c>
      <c r="E727">
        <v>4739</v>
      </c>
      <c r="F727">
        <v>2636</v>
      </c>
      <c r="G727" s="1">
        <v>0.55620000000000003</v>
      </c>
      <c r="H727">
        <v>4</v>
      </c>
      <c r="I727">
        <v>4724</v>
      </c>
    </row>
    <row r="728" spans="1:9" x14ac:dyDescent="0.35">
      <c r="A728" t="s">
        <v>9</v>
      </c>
      <c r="B728" t="s">
        <v>619</v>
      </c>
      <c r="C728" t="s">
        <v>737</v>
      </c>
      <c r="D728" t="str">
        <f>"101411"</f>
        <v>101411</v>
      </c>
      <c r="E728">
        <v>5464</v>
      </c>
      <c r="F728">
        <v>2806</v>
      </c>
      <c r="G728" s="1">
        <v>0.51349999999999996</v>
      </c>
      <c r="H728">
        <v>7</v>
      </c>
      <c r="I728">
        <v>5445</v>
      </c>
    </row>
    <row r="729" spans="1:9" x14ac:dyDescent="0.35">
      <c r="A729" t="s">
        <v>9</v>
      </c>
      <c r="B729" t="s">
        <v>619</v>
      </c>
      <c r="C729" t="s">
        <v>738</v>
      </c>
      <c r="D729" t="str">
        <f>"101501"</f>
        <v>101501</v>
      </c>
      <c r="E729">
        <v>3119</v>
      </c>
      <c r="F729">
        <v>1928</v>
      </c>
      <c r="G729" s="1">
        <v>0.61809999999999998</v>
      </c>
      <c r="H729">
        <v>5</v>
      </c>
      <c r="I729">
        <v>3070</v>
      </c>
    </row>
    <row r="730" spans="1:9" x14ac:dyDescent="0.35">
      <c r="A730" t="s">
        <v>9</v>
      </c>
      <c r="B730" t="s">
        <v>619</v>
      </c>
      <c r="C730" t="s">
        <v>739</v>
      </c>
      <c r="D730" t="str">
        <f>"101502"</f>
        <v>101502</v>
      </c>
      <c r="E730">
        <v>4363</v>
      </c>
      <c r="F730">
        <v>2955</v>
      </c>
      <c r="G730" s="1">
        <v>0.67730000000000001</v>
      </c>
      <c r="H730">
        <v>4</v>
      </c>
      <c r="I730">
        <v>4344</v>
      </c>
    </row>
    <row r="731" spans="1:9" x14ac:dyDescent="0.35">
      <c r="A731" t="s">
        <v>9</v>
      </c>
      <c r="B731" t="s">
        <v>619</v>
      </c>
      <c r="C731" t="s">
        <v>740</v>
      </c>
      <c r="D731" t="str">
        <f>"101503"</f>
        <v>101503</v>
      </c>
      <c r="E731">
        <v>1995</v>
      </c>
      <c r="F731">
        <v>1246</v>
      </c>
      <c r="G731" s="1">
        <v>0.62460000000000004</v>
      </c>
      <c r="H731">
        <v>2</v>
      </c>
      <c r="I731">
        <v>1991</v>
      </c>
    </row>
    <row r="732" spans="1:9" x14ac:dyDescent="0.35">
      <c r="A732" t="s">
        <v>9</v>
      </c>
      <c r="B732" t="s">
        <v>619</v>
      </c>
      <c r="C732" t="s">
        <v>741</v>
      </c>
      <c r="D732" t="str">
        <f>"101504"</f>
        <v>101504</v>
      </c>
      <c r="E732">
        <v>2400</v>
      </c>
      <c r="F732">
        <v>1341</v>
      </c>
      <c r="G732" s="1">
        <v>0.55879999999999996</v>
      </c>
      <c r="H732">
        <v>5</v>
      </c>
      <c r="I732">
        <v>2298</v>
      </c>
    </row>
    <row r="733" spans="1:9" x14ac:dyDescent="0.35">
      <c r="A733" t="s">
        <v>9</v>
      </c>
      <c r="B733" t="s">
        <v>619</v>
      </c>
      <c r="C733" t="s">
        <v>742</v>
      </c>
      <c r="D733" t="str">
        <f>"101505"</f>
        <v>101505</v>
      </c>
      <c r="E733">
        <v>2536</v>
      </c>
      <c r="F733">
        <v>1473</v>
      </c>
      <c r="G733" s="1">
        <v>0.58079999999999998</v>
      </c>
      <c r="H733">
        <v>3</v>
      </c>
      <c r="I733">
        <v>2515</v>
      </c>
    </row>
    <row r="734" spans="1:9" x14ac:dyDescent="0.35">
      <c r="A734" t="s">
        <v>9</v>
      </c>
      <c r="B734" t="s">
        <v>619</v>
      </c>
      <c r="C734" t="s">
        <v>743</v>
      </c>
      <c r="D734" t="str">
        <f>"101506"</f>
        <v>101506</v>
      </c>
      <c r="E734">
        <v>4728</v>
      </c>
      <c r="F734">
        <v>2916</v>
      </c>
      <c r="G734" s="1">
        <v>0.61680000000000001</v>
      </c>
      <c r="H734">
        <v>6</v>
      </c>
      <c r="I734">
        <v>4705</v>
      </c>
    </row>
    <row r="735" spans="1:9" x14ac:dyDescent="0.35">
      <c r="A735" t="s">
        <v>9</v>
      </c>
      <c r="B735" t="s">
        <v>619</v>
      </c>
      <c r="C735" t="s">
        <v>744</v>
      </c>
      <c r="D735" t="str">
        <f>"101507"</f>
        <v>101507</v>
      </c>
      <c r="E735">
        <v>2695</v>
      </c>
      <c r="F735">
        <v>1704</v>
      </c>
      <c r="G735" s="1">
        <v>0.63229999999999997</v>
      </c>
      <c r="H735">
        <v>4</v>
      </c>
      <c r="I735">
        <v>2690</v>
      </c>
    </row>
    <row r="736" spans="1:9" x14ac:dyDescent="0.35">
      <c r="A736" t="s">
        <v>9</v>
      </c>
      <c r="B736" t="s">
        <v>619</v>
      </c>
      <c r="C736" t="s">
        <v>745</v>
      </c>
      <c r="D736" t="str">
        <f>"101508"</f>
        <v>101508</v>
      </c>
      <c r="E736">
        <v>5866</v>
      </c>
      <c r="F736">
        <v>3629</v>
      </c>
      <c r="G736" s="1">
        <v>0.61860000000000004</v>
      </c>
      <c r="H736">
        <v>9</v>
      </c>
      <c r="I736">
        <v>5806</v>
      </c>
    </row>
    <row r="737" spans="1:9" x14ac:dyDescent="0.35">
      <c r="A737" t="s">
        <v>9</v>
      </c>
      <c r="B737" t="s">
        <v>619</v>
      </c>
      <c r="C737" t="s">
        <v>746</v>
      </c>
      <c r="D737" t="str">
        <f>"101509"</f>
        <v>101509</v>
      </c>
      <c r="E737">
        <v>1971</v>
      </c>
      <c r="F737">
        <v>1333</v>
      </c>
      <c r="G737" s="1">
        <v>0.67630000000000001</v>
      </c>
      <c r="H737">
        <v>4</v>
      </c>
      <c r="I737">
        <v>1966</v>
      </c>
    </row>
    <row r="738" spans="1:9" x14ac:dyDescent="0.35">
      <c r="A738" t="s">
        <v>9</v>
      </c>
      <c r="B738" t="s">
        <v>619</v>
      </c>
      <c r="C738" t="s">
        <v>747</v>
      </c>
      <c r="D738" t="str">
        <f>"101601"</f>
        <v>101601</v>
      </c>
      <c r="E738">
        <v>43937</v>
      </c>
      <c r="F738">
        <v>25599</v>
      </c>
      <c r="G738" s="1">
        <v>0.58260000000000001</v>
      </c>
      <c r="H738">
        <v>23</v>
      </c>
      <c r="I738">
        <v>43711</v>
      </c>
    </row>
    <row r="739" spans="1:9" x14ac:dyDescent="0.35">
      <c r="A739" t="s">
        <v>9</v>
      </c>
      <c r="B739" t="s">
        <v>619</v>
      </c>
      <c r="C739" t="s">
        <v>748</v>
      </c>
      <c r="D739" t="str">
        <f>"101602"</f>
        <v>101602</v>
      </c>
      <c r="E739">
        <v>2581</v>
      </c>
      <c r="F739">
        <v>1540</v>
      </c>
      <c r="G739" s="1">
        <v>0.59670000000000001</v>
      </c>
      <c r="H739">
        <v>4</v>
      </c>
      <c r="I739">
        <v>2568</v>
      </c>
    </row>
    <row r="740" spans="1:9" x14ac:dyDescent="0.35">
      <c r="A740" t="s">
        <v>9</v>
      </c>
      <c r="B740" t="s">
        <v>619</v>
      </c>
      <c r="C740" t="s">
        <v>749</v>
      </c>
      <c r="D740" t="str">
        <f>"101603"</f>
        <v>101603</v>
      </c>
      <c r="E740">
        <v>1654</v>
      </c>
      <c r="F740">
        <v>1006</v>
      </c>
      <c r="G740" s="1">
        <v>0.60819999999999996</v>
      </c>
      <c r="H740">
        <v>3</v>
      </c>
      <c r="I740">
        <v>1649</v>
      </c>
    </row>
    <row r="741" spans="1:9" x14ac:dyDescent="0.35">
      <c r="A741" t="s">
        <v>9</v>
      </c>
      <c r="B741" t="s">
        <v>619</v>
      </c>
      <c r="C741" t="s">
        <v>750</v>
      </c>
      <c r="D741" t="str">
        <f>"101604"</f>
        <v>101604</v>
      </c>
      <c r="E741">
        <v>3889</v>
      </c>
      <c r="F741">
        <v>2323</v>
      </c>
      <c r="G741" s="1">
        <v>0.59730000000000005</v>
      </c>
      <c r="H741">
        <v>4</v>
      </c>
      <c r="I741">
        <v>3875</v>
      </c>
    </row>
    <row r="742" spans="1:9" x14ac:dyDescent="0.35">
      <c r="A742" t="s">
        <v>9</v>
      </c>
      <c r="B742" t="s">
        <v>619</v>
      </c>
      <c r="C742" t="s">
        <v>751</v>
      </c>
      <c r="D742" t="str">
        <f>"101605"</f>
        <v>101605</v>
      </c>
      <c r="E742">
        <v>3128</v>
      </c>
      <c r="F742">
        <v>1894</v>
      </c>
      <c r="G742" s="1">
        <v>0.60550000000000004</v>
      </c>
      <c r="H742">
        <v>4</v>
      </c>
      <c r="I742">
        <v>3071</v>
      </c>
    </row>
    <row r="743" spans="1:9" x14ac:dyDescent="0.35">
      <c r="A743" t="s">
        <v>9</v>
      </c>
      <c r="B743" t="s">
        <v>619</v>
      </c>
      <c r="C743" t="s">
        <v>752</v>
      </c>
      <c r="D743" t="str">
        <f>"101606"</f>
        <v>101606</v>
      </c>
      <c r="E743">
        <v>5337</v>
      </c>
      <c r="F743">
        <v>3288</v>
      </c>
      <c r="G743" s="1">
        <v>0.61609999999999998</v>
      </c>
      <c r="H743">
        <v>10</v>
      </c>
      <c r="I743">
        <v>5319</v>
      </c>
    </row>
    <row r="744" spans="1:9" x14ac:dyDescent="0.35">
      <c r="A744" t="s">
        <v>9</v>
      </c>
      <c r="B744" t="s">
        <v>619</v>
      </c>
      <c r="C744" t="s">
        <v>753</v>
      </c>
      <c r="D744" t="str">
        <f>"101607"</f>
        <v>101607</v>
      </c>
      <c r="E744">
        <v>4722</v>
      </c>
      <c r="F744">
        <v>2870</v>
      </c>
      <c r="G744" s="1">
        <v>0.60780000000000001</v>
      </c>
      <c r="H744">
        <v>6</v>
      </c>
      <c r="I744">
        <v>4704</v>
      </c>
    </row>
    <row r="745" spans="1:9" x14ac:dyDescent="0.35">
      <c r="A745" t="s">
        <v>9</v>
      </c>
      <c r="B745" t="s">
        <v>619</v>
      </c>
      <c r="C745" t="s">
        <v>754</v>
      </c>
      <c r="D745" t="str">
        <f>"101608"</f>
        <v>101608</v>
      </c>
      <c r="E745">
        <v>3667</v>
      </c>
      <c r="F745">
        <v>2164</v>
      </c>
      <c r="G745" s="1">
        <v>0.59009999999999996</v>
      </c>
      <c r="H745">
        <v>4</v>
      </c>
      <c r="I745">
        <v>3651</v>
      </c>
    </row>
    <row r="746" spans="1:9" x14ac:dyDescent="0.35">
      <c r="A746" t="s">
        <v>9</v>
      </c>
      <c r="B746" t="s">
        <v>619</v>
      </c>
      <c r="C746" t="s">
        <v>755</v>
      </c>
      <c r="D746" t="str">
        <f>"101609"</f>
        <v>101609</v>
      </c>
      <c r="E746">
        <v>8683</v>
      </c>
      <c r="F746">
        <v>5564</v>
      </c>
      <c r="G746" s="1">
        <v>0.64080000000000004</v>
      </c>
      <c r="H746">
        <v>13</v>
      </c>
      <c r="I746">
        <v>8598</v>
      </c>
    </row>
    <row r="747" spans="1:9" x14ac:dyDescent="0.35">
      <c r="A747" t="s">
        <v>9</v>
      </c>
      <c r="B747" t="s">
        <v>619</v>
      </c>
      <c r="C747" t="s">
        <v>756</v>
      </c>
      <c r="D747" t="str">
        <f>"101610"</f>
        <v>101610</v>
      </c>
      <c r="E747">
        <v>5762</v>
      </c>
      <c r="F747">
        <v>3445</v>
      </c>
      <c r="G747" s="1">
        <v>0.59789999999999999</v>
      </c>
      <c r="H747">
        <v>10</v>
      </c>
      <c r="I747">
        <v>5749</v>
      </c>
    </row>
    <row r="748" spans="1:9" x14ac:dyDescent="0.35">
      <c r="A748" t="s">
        <v>9</v>
      </c>
      <c r="B748" t="s">
        <v>619</v>
      </c>
      <c r="C748" t="s">
        <v>757</v>
      </c>
      <c r="D748" t="str">
        <f>"101611"</f>
        <v>101611</v>
      </c>
      <c r="E748">
        <v>2549</v>
      </c>
      <c r="F748">
        <v>1506</v>
      </c>
      <c r="G748" s="1">
        <v>0.59079999999999999</v>
      </c>
      <c r="H748">
        <v>5</v>
      </c>
      <c r="I748">
        <v>2542</v>
      </c>
    </row>
    <row r="749" spans="1:9" x14ac:dyDescent="0.35">
      <c r="A749" t="s">
        <v>9</v>
      </c>
      <c r="B749" t="s">
        <v>619</v>
      </c>
      <c r="C749" t="s">
        <v>758</v>
      </c>
      <c r="D749" t="str">
        <f>"101701"</f>
        <v>101701</v>
      </c>
      <c r="E749">
        <v>4181</v>
      </c>
      <c r="F749">
        <v>2230</v>
      </c>
      <c r="G749" s="1">
        <v>0.53339999999999999</v>
      </c>
      <c r="H749">
        <v>8</v>
      </c>
      <c r="I749">
        <v>4163</v>
      </c>
    </row>
    <row r="750" spans="1:9" x14ac:dyDescent="0.35">
      <c r="A750" t="s">
        <v>9</v>
      </c>
      <c r="B750" t="s">
        <v>619</v>
      </c>
      <c r="C750" t="s">
        <v>759</v>
      </c>
      <c r="D750" t="str">
        <f>"101702"</f>
        <v>101702</v>
      </c>
      <c r="E750">
        <v>3431</v>
      </c>
      <c r="F750">
        <v>1995</v>
      </c>
      <c r="G750" s="1">
        <v>0.58150000000000002</v>
      </c>
      <c r="H750">
        <v>6</v>
      </c>
      <c r="I750">
        <v>3417</v>
      </c>
    </row>
    <row r="751" spans="1:9" x14ac:dyDescent="0.35">
      <c r="A751" t="s">
        <v>9</v>
      </c>
      <c r="B751" t="s">
        <v>619</v>
      </c>
      <c r="C751" t="s">
        <v>428</v>
      </c>
      <c r="D751" t="str">
        <f>"101703"</f>
        <v>101703</v>
      </c>
      <c r="E751">
        <v>2934</v>
      </c>
      <c r="F751">
        <v>1707</v>
      </c>
      <c r="G751" s="1">
        <v>0.58179999999999998</v>
      </c>
      <c r="H751">
        <v>6</v>
      </c>
      <c r="I751">
        <v>2907</v>
      </c>
    </row>
    <row r="752" spans="1:9" x14ac:dyDescent="0.35">
      <c r="A752" t="s">
        <v>9</v>
      </c>
      <c r="B752" t="s">
        <v>619</v>
      </c>
      <c r="C752" t="s">
        <v>760</v>
      </c>
      <c r="D752" t="str">
        <f>"101704"</f>
        <v>101704</v>
      </c>
      <c r="E752">
        <v>4110</v>
      </c>
      <c r="F752">
        <v>2467</v>
      </c>
      <c r="G752" s="1">
        <v>0.60019999999999996</v>
      </c>
      <c r="H752">
        <v>6</v>
      </c>
      <c r="I752">
        <v>4087</v>
      </c>
    </row>
    <row r="753" spans="1:9" x14ac:dyDescent="0.35">
      <c r="A753" t="s">
        <v>9</v>
      </c>
      <c r="B753" t="s">
        <v>619</v>
      </c>
      <c r="C753" t="s">
        <v>761</v>
      </c>
      <c r="D753" t="str">
        <f>"101705"</f>
        <v>101705</v>
      </c>
      <c r="E753">
        <v>3662</v>
      </c>
      <c r="F753">
        <v>2172</v>
      </c>
      <c r="G753" s="1">
        <v>0.59309999999999996</v>
      </c>
      <c r="H753">
        <v>6</v>
      </c>
      <c r="I753">
        <v>3632</v>
      </c>
    </row>
    <row r="754" spans="1:9" x14ac:dyDescent="0.35">
      <c r="A754" t="s">
        <v>9</v>
      </c>
      <c r="B754" t="s">
        <v>619</v>
      </c>
      <c r="C754" t="s">
        <v>418</v>
      </c>
      <c r="D754" t="str">
        <f>"101706"</f>
        <v>101706</v>
      </c>
      <c r="E754">
        <v>3404</v>
      </c>
      <c r="F754">
        <v>1938</v>
      </c>
      <c r="G754" s="1">
        <v>0.56930000000000003</v>
      </c>
      <c r="H754">
        <v>6</v>
      </c>
      <c r="I754">
        <v>3386</v>
      </c>
    </row>
    <row r="755" spans="1:9" x14ac:dyDescent="0.35">
      <c r="A755" t="s">
        <v>9</v>
      </c>
      <c r="B755" t="s">
        <v>619</v>
      </c>
      <c r="C755" t="s">
        <v>762</v>
      </c>
      <c r="D755" t="str">
        <f>"101707"</f>
        <v>101707</v>
      </c>
      <c r="E755">
        <v>5012</v>
      </c>
      <c r="F755">
        <v>2904</v>
      </c>
      <c r="G755" s="1">
        <v>0.57940000000000003</v>
      </c>
      <c r="H755">
        <v>9</v>
      </c>
      <c r="I755">
        <v>4977</v>
      </c>
    </row>
    <row r="756" spans="1:9" x14ac:dyDescent="0.35">
      <c r="A756" t="s">
        <v>9</v>
      </c>
      <c r="B756" t="s">
        <v>619</v>
      </c>
      <c r="C756" t="s">
        <v>763</v>
      </c>
      <c r="D756" t="str">
        <f>"101708"</f>
        <v>101708</v>
      </c>
      <c r="E756">
        <v>2454</v>
      </c>
      <c r="F756">
        <v>1349</v>
      </c>
      <c r="G756" s="1">
        <v>0.54969999999999997</v>
      </c>
      <c r="H756">
        <v>4</v>
      </c>
      <c r="I756">
        <v>2446</v>
      </c>
    </row>
    <row r="757" spans="1:9" x14ac:dyDescent="0.35">
      <c r="A757" t="s">
        <v>9</v>
      </c>
      <c r="B757" t="s">
        <v>619</v>
      </c>
      <c r="C757" t="s">
        <v>764</v>
      </c>
      <c r="D757" t="str">
        <f>"101709"</f>
        <v>101709</v>
      </c>
      <c r="E757">
        <v>23399</v>
      </c>
      <c r="F757">
        <v>14041</v>
      </c>
      <c r="G757" s="1">
        <v>0.60009999999999997</v>
      </c>
      <c r="H757">
        <v>25</v>
      </c>
      <c r="I757">
        <v>23230</v>
      </c>
    </row>
    <row r="758" spans="1:9" x14ac:dyDescent="0.35">
      <c r="A758" t="s">
        <v>9</v>
      </c>
      <c r="B758" t="s">
        <v>619</v>
      </c>
      <c r="C758" t="s">
        <v>765</v>
      </c>
      <c r="D758" t="str">
        <f>"101710"</f>
        <v>101710</v>
      </c>
      <c r="E758">
        <v>5150</v>
      </c>
      <c r="F758">
        <v>2876</v>
      </c>
      <c r="G758" s="1">
        <v>0.55840000000000001</v>
      </c>
      <c r="H758">
        <v>8</v>
      </c>
      <c r="I758">
        <v>5121</v>
      </c>
    </row>
    <row r="759" spans="1:9" x14ac:dyDescent="0.35">
      <c r="A759" t="s">
        <v>9</v>
      </c>
      <c r="B759" t="s">
        <v>619</v>
      </c>
      <c r="C759" t="s">
        <v>12</v>
      </c>
      <c r="D759" t="str">
        <f>"101801"</f>
        <v>101801</v>
      </c>
      <c r="E759">
        <v>3064</v>
      </c>
      <c r="F759">
        <v>1612</v>
      </c>
      <c r="G759" s="1">
        <v>0.52610000000000001</v>
      </c>
      <c r="H759">
        <v>4</v>
      </c>
      <c r="I759">
        <v>3048</v>
      </c>
    </row>
    <row r="760" spans="1:9" x14ac:dyDescent="0.35">
      <c r="A760" t="s">
        <v>9</v>
      </c>
      <c r="B760" t="s">
        <v>619</v>
      </c>
      <c r="C760" t="s">
        <v>766</v>
      </c>
      <c r="D760" t="str">
        <f>"101802"</f>
        <v>101802</v>
      </c>
      <c r="E760">
        <v>3073</v>
      </c>
      <c r="F760">
        <v>1554</v>
      </c>
      <c r="G760" s="1">
        <v>0.50570000000000004</v>
      </c>
      <c r="H760">
        <v>4</v>
      </c>
      <c r="I760">
        <v>3072</v>
      </c>
    </row>
    <row r="761" spans="1:9" x14ac:dyDescent="0.35">
      <c r="A761" t="s">
        <v>9</v>
      </c>
      <c r="B761" t="s">
        <v>619</v>
      </c>
      <c r="C761" t="s">
        <v>767</v>
      </c>
      <c r="D761" t="str">
        <f>"101803"</f>
        <v>101803</v>
      </c>
      <c r="E761">
        <v>4737</v>
      </c>
      <c r="F761">
        <v>2536</v>
      </c>
      <c r="G761" s="1">
        <v>0.53539999999999999</v>
      </c>
      <c r="H761">
        <v>8</v>
      </c>
      <c r="I761">
        <v>4732</v>
      </c>
    </row>
    <row r="762" spans="1:9" x14ac:dyDescent="0.35">
      <c r="A762" t="s">
        <v>9</v>
      </c>
      <c r="B762" t="s">
        <v>619</v>
      </c>
      <c r="C762" t="s">
        <v>768</v>
      </c>
      <c r="D762" t="str">
        <f>"101804"</f>
        <v>101804</v>
      </c>
      <c r="E762">
        <v>3477</v>
      </c>
      <c r="F762">
        <v>1814</v>
      </c>
      <c r="G762" s="1">
        <v>0.52170000000000005</v>
      </c>
      <c r="H762">
        <v>6</v>
      </c>
      <c r="I762">
        <v>3464</v>
      </c>
    </row>
    <row r="763" spans="1:9" x14ac:dyDescent="0.35">
      <c r="A763" t="s">
        <v>9</v>
      </c>
      <c r="B763" t="s">
        <v>619</v>
      </c>
      <c r="C763" t="s">
        <v>769</v>
      </c>
      <c r="D763" t="str">
        <f>"101805"</f>
        <v>101805</v>
      </c>
      <c r="E763">
        <v>3165</v>
      </c>
      <c r="F763">
        <v>1642</v>
      </c>
      <c r="G763" s="1">
        <v>0.51880000000000004</v>
      </c>
      <c r="H763">
        <v>5</v>
      </c>
      <c r="I763">
        <v>3137</v>
      </c>
    </row>
    <row r="764" spans="1:9" x14ac:dyDescent="0.35">
      <c r="A764" t="s">
        <v>9</v>
      </c>
      <c r="B764" t="s">
        <v>619</v>
      </c>
      <c r="C764" t="s">
        <v>770</v>
      </c>
      <c r="D764" t="str">
        <f>"101806"</f>
        <v>101806</v>
      </c>
      <c r="E764">
        <v>3960</v>
      </c>
      <c r="F764">
        <v>2320</v>
      </c>
      <c r="G764" s="1">
        <v>0.58589999999999998</v>
      </c>
      <c r="H764">
        <v>5</v>
      </c>
      <c r="I764">
        <v>3945</v>
      </c>
    </row>
    <row r="765" spans="1:9" x14ac:dyDescent="0.35">
      <c r="A765" t="s">
        <v>9</v>
      </c>
      <c r="B765" t="s">
        <v>619</v>
      </c>
      <c r="C765" t="s">
        <v>771</v>
      </c>
      <c r="D765" t="str">
        <f>"101807"</f>
        <v>101807</v>
      </c>
      <c r="E765">
        <v>11342</v>
      </c>
      <c r="F765">
        <v>6839</v>
      </c>
      <c r="G765" s="1">
        <v>0.60299999999999998</v>
      </c>
      <c r="H765">
        <v>12</v>
      </c>
      <c r="I765">
        <v>10842</v>
      </c>
    </row>
    <row r="766" spans="1:9" x14ac:dyDescent="0.35">
      <c r="A766" t="s">
        <v>9</v>
      </c>
      <c r="B766" t="s">
        <v>619</v>
      </c>
      <c r="C766" t="s">
        <v>772</v>
      </c>
      <c r="D766" t="str">
        <f>"101901"</f>
        <v>101901</v>
      </c>
      <c r="E766">
        <v>29813</v>
      </c>
      <c r="F766">
        <v>17209</v>
      </c>
      <c r="G766" s="1">
        <v>0.57720000000000005</v>
      </c>
      <c r="H766">
        <v>21</v>
      </c>
      <c r="I766">
        <v>29703</v>
      </c>
    </row>
    <row r="767" spans="1:9" x14ac:dyDescent="0.35">
      <c r="A767" t="s">
        <v>9</v>
      </c>
      <c r="B767" t="s">
        <v>619</v>
      </c>
      <c r="C767" t="s">
        <v>773</v>
      </c>
      <c r="D767" t="str">
        <f>"101902"</f>
        <v>101902</v>
      </c>
      <c r="E767">
        <v>5572</v>
      </c>
      <c r="F767">
        <v>3211</v>
      </c>
      <c r="G767" s="1">
        <v>0.57630000000000003</v>
      </c>
      <c r="H767">
        <v>7</v>
      </c>
      <c r="I767">
        <v>5553</v>
      </c>
    </row>
    <row r="768" spans="1:9" x14ac:dyDescent="0.35">
      <c r="A768" t="s">
        <v>9</v>
      </c>
      <c r="B768" t="s">
        <v>619</v>
      </c>
      <c r="C768" t="s">
        <v>774</v>
      </c>
      <c r="D768" t="str">
        <f>"101903"</f>
        <v>101903</v>
      </c>
      <c r="E768">
        <v>4126</v>
      </c>
      <c r="F768">
        <v>2413</v>
      </c>
      <c r="G768" s="1">
        <v>0.58479999999999999</v>
      </c>
      <c r="H768">
        <v>5</v>
      </c>
      <c r="I768">
        <v>4123</v>
      </c>
    </row>
    <row r="769" spans="1:9" x14ac:dyDescent="0.35">
      <c r="A769" t="s">
        <v>9</v>
      </c>
      <c r="B769" t="s">
        <v>619</v>
      </c>
      <c r="C769" t="s">
        <v>775</v>
      </c>
      <c r="D769" t="str">
        <f>"101904"</f>
        <v>101904</v>
      </c>
      <c r="E769">
        <v>9341</v>
      </c>
      <c r="F769">
        <v>5280</v>
      </c>
      <c r="G769" s="1">
        <v>0.56520000000000004</v>
      </c>
      <c r="H769">
        <v>7</v>
      </c>
      <c r="I769">
        <v>9285</v>
      </c>
    </row>
    <row r="770" spans="1:9" x14ac:dyDescent="0.35">
      <c r="A770" t="s">
        <v>9</v>
      </c>
      <c r="B770" t="s">
        <v>619</v>
      </c>
      <c r="C770" t="s">
        <v>776</v>
      </c>
      <c r="D770" t="str">
        <f>"102001"</f>
        <v>102001</v>
      </c>
      <c r="E770">
        <v>10592</v>
      </c>
      <c r="F770">
        <v>6060</v>
      </c>
      <c r="G770" s="1">
        <v>0.57210000000000005</v>
      </c>
      <c r="H770">
        <v>9</v>
      </c>
      <c r="I770">
        <v>10551</v>
      </c>
    </row>
    <row r="771" spans="1:9" x14ac:dyDescent="0.35">
      <c r="A771" t="s">
        <v>9</v>
      </c>
      <c r="B771" t="s">
        <v>619</v>
      </c>
      <c r="C771" t="s">
        <v>777</v>
      </c>
      <c r="D771" t="str">
        <f>"102002"</f>
        <v>102002</v>
      </c>
      <c r="E771">
        <v>14012</v>
      </c>
      <c r="F771">
        <v>8134</v>
      </c>
      <c r="G771" s="1">
        <v>0.58050000000000002</v>
      </c>
      <c r="H771">
        <v>15</v>
      </c>
      <c r="I771">
        <v>13963</v>
      </c>
    </row>
    <row r="772" spans="1:9" x14ac:dyDescent="0.35">
      <c r="A772" t="s">
        <v>9</v>
      </c>
      <c r="B772" t="s">
        <v>619</v>
      </c>
      <c r="C772" t="s">
        <v>778</v>
      </c>
      <c r="D772" t="str">
        <f>"102003"</f>
        <v>102003</v>
      </c>
      <c r="E772">
        <v>41068</v>
      </c>
      <c r="F772">
        <v>24733</v>
      </c>
      <c r="G772" s="1">
        <v>0.60219999999999996</v>
      </c>
      <c r="H772">
        <v>36</v>
      </c>
      <c r="I772">
        <v>40769</v>
      </c>
    </row>
    <row r="773" spans="1:9" x14ac:dyDescent="0.35">
      <c r="A773" t="s">
        <v>9</v>
      </c>
      <c r="B773" t="s">
        <v>619</v>
      </c>
      <c r="C773" t="s">
        <v>779</v>
      </c>
      <c r="D773" t="str">
        <f>"102004"</f>
        <v>102004</v>
      </c>
      <c r="E773">
        <v>25239</v>
      </c>
      <c r="F773">
        <v>15893</v>
      </c>
      <c r="G773" s="1">
        <v>0.62970000000000004</v>
      </c>
      <c r="H773">
        <v>16</v>
      </c>
      <c r="I773">
        <v>25039</v>
      </c>
    </row>
    <row r="774" spans="1:9" x14ac:dyDescent="0.35">
      <c r="A774" t="s">
        <v>9</v>
      </c>
      <c r="B774" t="s">
        <v>619</v>
      </c>
      <c r="C774" t="s">
        <v>780</v>
      </c>
      <c r="D774" t="str">
        <f>"102005"</f>
        <v>102005</v>
      </c>
      <c r="E774">
        <v>3760</v>
      </c>
      <c r="F774">
        <v>2162</v>
      </c>
      <c r="G774" s="1">
        <v>0.57499999999999996</v>
      </c>
      <c r="H774">
        <v>6</v>
      </c>
      <c r="I774">
        <v>3752</v>
      </c>
    </row>
    <row r="775" spans="1:9" x14ac:dyDescent="0.35">
      <c r="A775" t="s">
        <v>9</v>
      </c>
      <c r="B775" t="s">
        <v>619</v>
      </c>
      <c r="C775" t="s">
        <v>781</v>
      </c>
      <c r="D775" t="str">
        <f>"102006"</f>
        <v>102006</v>
      </c>
      <c r="E775">
        <v>5712</v>
      </c>
      <c r="F775">
        <v>3700</v>
      </c>
      <c r="G775" s="1">
        <v>0.64780000000000004</v>
      </c>
      <c r="H775">
        <v>7</v>
      </c>
      <c r="I775">
        <v>5655</v>
      </c>
    </row>
    <row r="776" spans="1:9" x14ac:dyDescent="0.35">
      <c r="A776" t="s">
        <v>9</v>
      </c>
      <c r="B776" t="s">
        <v>619</v>
      </c>
      <c r="C776" t="s">
        <v>782</v>
      </c>
      <c r="D776" t="str">
        <f>"102007"</f>
        <v>102007</v>
      </c>
      <c r="E776">
        <v>4274</v>
      </c>
      <c r="F776">
        <v>2706</v>
      </c>
      <c r="G776" s="1">
        <v>0.6331</v>
      </c>
      <c r="H776">
        <v>9</v>
      </c>
      <c r="I776">
        <v>4237</v>
      </c>
    </row>
    <row r="777" spans="1:9" x14ac:dyDescent="0.35">
      <c r="A777" t="s">
        <v>9</v>
      </c>
      <c r="B777" t="s">
        <v>619</v>
      </c>
      <c r="C777" t="s">
        <v>783</v>
      </c>
      <c r="D777" t="str">
        <f>"102008"</f>
        <v>102008</v>
      </c>
      <c r="E777">
        <v>9994</v>
      </c>
      <c r="F777">
        <v>6367</v>
      </c>
      <c r="G777" s="1">
        <v>0.6371</v>
      </c>
      <c r="H777">
        <v>16</v>
      </c>
      <c r="I777">
        <v>9934</v>
      </c>
    </row>
    <row r="778" spans="1:9" x14ac:dyDescent="0.35">
      <c r="A778" t="s">
        <v>9</v>
      </c>
      <c r="B778" t="s">
        <v>619</v>
      </c>
      <c r="C778" t="s">
        <v>784</v>
      </c>
      <c r="D778" t="str">
        <f>"102009"</f>
        <v>102009</v>
      </c>
      <c r="E778">
        <v>12146</v>
      </c>
      <c r="F778">
        <v>8057</v>
      </c>
      <c r="G778" s="1">
        <v>0.6633</v>
      </c>
      <c r="H778">
        <v>10</v>
      </c>
      <c r="I778">
        <v>11914</v>
      </c>
    </row>
    <row r="779" spans="1:9" x14ac:dyDescent="0.35">
      <c r="A779" t="s">
        <v>9</v>
      </c>
      <c r="B779" t="s">
        <v>619</v>
      </c>
      <c r="C779" t="s">
        <v>785</v>
      </c>
      <c r="D779" t="str">
        <f>"102101"</f>
        <v>102101</v>
      </c>
      <c r="E779">
        <v>9300</v>
      </c>
      <c r="F779">
        <v>5427</v>
      </c>
      <c r="G779" s="1">
        <v>0.58350000000000002</v>
      </c>
      <c r="H779">
        <v>7</v>
      </c>
      <c r="I779">
        <v>9256</v>
      </c>
    </row>
    <row r="780" spans="1:9" x14ac:dyDescent="0.35">
      <c r="A780" t="s">
        <v>9</v>
      </c>
      <c r="B780" t="s">
        <v>619</v>
      </c>
      <c r="C780" t="s">
        <v>786</v>
      </c>
      <c r="D780" t="str">
        <f>"102102"</f>
        <v>102102</v>
      </c>
      <c r="E780">
        <v>4605</v>
      </c>
      <c r="F780">
        <v>2843</v>
      </c>
      <c r="G780" s="1">
        <v>0.61739999999999995</v>
      </c>
      <c r="H780">
        <v>10</v>
      </c>
      <c r="I780">
        <v>4563</v>
      </c>
    </row>
    <row r="781" spans="1:9" x14ac:dyDescent="0.35">
      <c r="A781" t="s">
        <v>9</v>
      </c>
      <c r="B781" t="s">
        <v>619</v>
      </c>
      <c r="C781" t="s">
        <v>787</v>
      </c>
      <c r="D781" t="str">
        <f>"102103"</f>
        <v>102103</v>
      </c>
      <c r="E781">
        <v>3565</v>
      </c>
      <c r="F781">
        <v>2073</v>
      </c>
      <c r="G781" s="1">
        <v>0.58150000000000002</v>
      </c>
      <c r="H781">
        <v>9</v>
      </c>
      <c r="I781">
        <v>3522</v>
      </c>
    </row>
    <row r="782" spans="1:9" x14ac:dyDescent="0.35">
      <c r="A782" t="s">
        <v>9</v>
      </c>
      <c r="B782" t="s">
        <v>619</v>
      </c>
      <c r="C782" t="s">
        <v>788</v>
      </c>
      <c r="D782" t="str">
        <f>"102104"</f>
        <v>102104</v>
      </c>
      <c r="E782">
        <v>2532</v>
      </c>
      <c r="F782">
        <v>1535</v>
      </c>
      <c r="G782" s="1">
        <v>0.60619999999999996</v>
      </c>
      <c r="H782">
        <v>9</v>
      </c>
      <c r="I782">
        <v>2512</v>
      </c>
    </row>
    <row r="783" spans="1:9" x14ac:dyDescent="0.35">
      <c r="A783" t="s">
        <v>9</v>
      </c>
      <c r="B783" t="s">
        <v>619</v>
      </c>
      <c r="C783" t="s">
        <v>789</v>
      </c>
      <c r="D783" t="str">
        <f>"102105"</f>
        <v>102105</v>
      </c>
      <c r="E783">
        <v>3651</v>
      </c>
      <c r="F783">
        <v>2141</v>
      </c>
      <c r="G783" s="1">
        <v>0.58640000000000003</v>
      </c>
      <c r="H783">
        <v>7</v>
      </c>
      <c r="I783">
        <v>3628</v>
      </c>
    </row>
    <row r="784" spans="1:9" x14ac:dyDescent="0.35">
      <c r="A784" t="s">
        <v>9</v>
      </c>
      <c r="B784" t="s">
        <v>619</v>
      </c>
      <c r="C784" t="s">
        <v>790</v>
      </c>
      <c r="D784" t="str">
        <f>"106101"</f>
        <v>106101</v>
      </c>
      <c r="E784">
        <v>491022</v>
      </c>
      <c r="F784">
        <v>285303</v>
      </c>
      <c r="G784" s="1">
        <v>0.58099999999999996</v>
      </c>
      <c r="H784">
        <v>283</v>
      </c>
      <c r="I784">
        <v>487583</v>
      </c>
    </row>
    <row r="785" spans="1:9" x14ac:dyDescent="0.35">
      <c r="A785" t="s">
        <v>9</v>
      </c>
      <c r="B785" t="s">
        <v>619</v>
      </c>
      <c r="C785" t="s">
        <v>791</v>
      </c>
      <c r="D785" t="str">
        <f>"106201"</f>
        <v>106201</v>
      </c>
      <c r="E785">
        <v>52335</v>
      </c>
      <c r="F785">
        <v>30080</v>
      </c>
      <c r="G785" s="1">
        <v>0.57479999999999998</v>
      </c>
      <c r="H785">
        <v>37</v>
      </c>
      <c r="I785">
        <v>51597</v>
      </c>
    </row>
    <row r="786" spans="1:9" x14ac:dyDescent="0.35">
      <c r="A786" t="s">
        <v>9</v>
      </c>
      <c r="B786" t="s">
        <v>619</v>
      </c>
      <c r="C786" t="s">
        <v>792</v>
      </c>
      <c r="D786" t="str">
        <f>"106301"</f>
        <v>106301</v>
      </c>
      <c r="E786">
        <v>35138</v>
      </c>
      <c r="F786">
        <v>21612</v>
      </c>
      <c r="G786" s="1">
        <v>0.61509999999999998</v>
      </c>
      <c r="H786">
        <v>25</v>
      </c>
      <c r="I786">
        <v>34845</v>
      </c>
    </row>
    <row r="787" spans="1:9" x14ac:dyDescent="0.35">
      <c r="A787" t="s">
        <v>9</v>
      </c>
      <c r="B787" t="s">
        <v>793</v>
      </c>
      <c r="C787" t="s">
        <v>794</v>
      </c>
      <c r="D787" t="str">
        <f>"120101"</f>
        <v>120101</v>
      </c>
      <c r="E787">
        <v>21865</v>
      </c>
      <c r="F787">
        <v>12955</v>
      </c>
      <c r="G787" s="1">
        <v>0.59250000000000003</v>
      </c>
      <c r="H787">
        <v>15</v>
      </c>
      <c r="I787">
        <v>21738</v>
      </c>
    </row>
    <row r="788" spans="1:9" x14ac:dyDescent="0.35">
      <c r="A788" t="s">
        <v>9</v>
      </c>
      <c r="B788" t="s">
        <v>793</v>
      </c>
      <c r="C788" t="s">
        <v>795</v>
      </c>
      <c r="D788" t="str">
        <f>"120102"</f>
        <v>120102</v>
      </c>
      <c r="E788">
        <v>15508</v>
      </c>
      <c r="F788">
        <v>9308</v>
      </c>
      <c r="G788" s="1">
        <v>0.60019999999999996</v>
      </c>
      <c r="H788">
        <v>20</v>
      </c>
      <c r="I788">
        <v>15416</v>
      </c>
    </row>
    <row r="789" spans="1:9" x14ac:dyDescent="0.35">
      <c r="A789" t="s">
        <v>9</v>
      </c>
      <c r="B789" t="s">
        <v>793</v>
      </c>
      <c r="C789" t="s">
        <v>796</v>
      </c>
      <c r="D789" t="str">
        <f>"120103"</f>
        <v>120103</v>
      </c>
      <c r="E789">
        <v>4989</v>
      </c>
      <c r="F789">
        <v>2876</v>
      </c>
      <c r="G789" s="1">
        <v>0.57650000000000001</v>
      </c>
      <c r="H789">
        <v>5</v>
      </c>
      <c r="I789">
        <v>4969</v>
      </c>
    </row>
    <row r="790" spans="1:9" x14ac:dyDescent="0.35">
      <c r="A790" t="s">
        <v>9</v>
      </c>
      <c r="B790" t="s">
        <v>793</v>
      </c>
      <c r="C790" t="s">
        <v>797</v>
      </c>
      <c r="D790" t="str">
        <f>"120104"</f>
        <v>120104</v>
      </c>
      <c r="E790">
        <v>4191</v>
      </c>
      <c r="F790">
        <v>2481</v>
      </c>
      <c r="G790" s="1">
        <v>0.59199999999999997</v>
      </c>
      <c r="H790">
        <v>5</v>
      </c>
      <c r="I790">
        <v>4162</v>
      </c>
    </row>
    <row r="791" spans="1:9" x14ac:dyDescent="0.35">
      <c r="A791" t="s">
        <v>9</v>
      </c>
      <c r="B791" t="s">
        <v>793</v>
      </c>
      <c r="C791" t="s">
        <v>798</v>
      </c>
      <c r="D791" t="str">
        <f>"120105"</f>
        <v>120105</v>
      </c>
      <c r="E791">
        <v>6455</v>
      </c>
      <c r="F791">
        <v>3873</v>
      </c>
      <c r="G791" s="1">
        <v>0.6</v>
      </c>
      <c r="H791">
        <v>7</v>
      </c>
      <c r="I791">
        <v>6427</v>
      </c>
    </row>
    <row r="792" spans="1:9" x14ac:dyDescent="0.35">
      <c r="A792" t="s">
        <v>9</v>
      </c>
      <c r="B792" t="s">
        <v>793</v>
      </c>
      <c r="C792" t="s">
        <v>799</v>
      </c>
      <c r="D792" t="str">
        <f>"120106"</f>
        <v>120106</v>
      </c>
      <c r="E792">
        <v>10660</v>
      </c>
      <c r="F792">
        <v>6704</v>
      </c>
      <c r="G792" s="1">
        <v>0.62890000000000001</v>
      </c>
      <c r="H792">
        <v>8</v>
      </c>
      <c r="I792">
        <v>10608</v>
      </c>
    </row>
    <row r="793" spans="1:9" x14ac:dyDescent="0.35">
      <c r="A793" t="s">
        <v>9</v>
      </c>
      <c r="B793" t="s">
        <v>793</v>
      </c>
      <c r="C793" t="s">
        <v>800</v>
      </c>
      <c r="D793" t="str">
        <f>"120107"</f>
        <v>120107</v>
      </c>
      <c r="E793">
        <v>8627</v>
      </c>
      <c r="F793">
        <v>5002</v>
      </c>
      <c r="G793" s="1">
        <v>0.57979999999999998</v>
      </c>
      <c r="H793">
        <v>11</v>
      </c>
      <c r="I793">
        <v>8575</v>
      </c>
    </row>
    <row r="794" spans="1:9" x14ac:dyDescent="0.35">
      <c r="A794" t="s">
        <v>9</v>
      </c>
      <c r="B794" t="s">
        <v>793</v>
      </c>
      <c r="C794" t="s">
        <v>801</v>
      </c>
      <c r="D794" t="str">
        <f>"120108"</f>
        <v>120108</v>
      </c>
      <c r="E794">
        <v>4261</v>
      </c>
      <c r="F794">
        <v>2797</v>
      </c>
      <c r="G794" s="1">
        <v>0.65639999999999998</v>
      </c>
      <c r="H794">
        <v>5</v>
      </c>
      <c r="I794">
        <v>4235</v>
      </c>
    </row>
    <row r="795" spans="1:9" x14ac:dyDescent="0.35">
      <c r="A795" t="s">
        <v>9</v>
      </c>
      <c r="B795" t="s">
        <v>793</v>
      </c>
      <c r="C795" t="s">
        <v>802</v>
      </c>
      <c r="D795" t="str">
        <f>"120109"</f>
        <v>120109</v>
      </c>
      <c r="E795">
        <v>4111</v>
      </c>
      <c r="F795">
        <v>2792</v>
      </c>
      <c r="G795" s="1">
        <v>0.67920000000000003</v>
      </c>
      <c r="H795">
        <v>5</v>
      </c>
      <c r="I795">
        <v>4093</v>
      </c>
    </row>
    <row r="796" spans="1:9" x14ac:dyDescent="0.35">
      <c r="A796" t="s">
        <v>9</v>
      </c>
      <c r="B796" t="s">
        <v>793</v>
      </c>
      <c r="C796" t="s">
        <v>803</v>
      </c>
      <c r="D796" t="str">
        <f>"120201"</f>
        <v>120201</v>
      </c>
      <c r="E796">
        <v>6347</v>
      </c>
      <c r="F796">
        <v>3343</v>
      </c>
      <c r="G796" s="1">
        <v>0.52669999999999995</v>
      </c>
      <c r="H796">
        <v>6</v>
      </c>
      <c r="I796">
        <v>6327</v>
      </c>
    </row>
    <row r="797" spans="1:9" x14ac:dyDescent="0.35">
      <c r="A797" t="s">
        <v>9</v>
      </c>
      <c r="B797" t="s">
        <v>793</v>
      </c>
      <c r="C797" t="s">
        <v>804</v>
      </c>
      <c r="D797" t="str">
        <f>"120202"</f>
        <v>120202</v>
      </c>
      <c r="E797">
        <v>27073</v>
      </c>
      <c r="F797">
        <v>15040</v>
      </c>
      <c r="G797" s="1">
        <v>0.55549999999999999</v>
      </c>
      <c r="H797">
        <v>20</v>
      </c>
      <c r="I797">
        <v>26985</v>
      </c>
    </row>
    <row r="798" spans="1:9" x14ac:dyDescent="0.35">
      <c r="A798" t="s">
        <v>9</v>
      </c>
      <c r="B798" t="s">
        <v>793</v>
      </c>
      <c r="C798" t="s">
        <v>805</v>
      </c>
      <c r="D798" t="str">
        <f>"120203"</f>
        <v>120203</v>
      </c>
      <c r="E798">
        <v>7263</v>
      </c>
      <c r="F798">
        <v>4240</v>
      </c>
      <c r="G798" s="1">
        <v>0.58379999999999999</v>
      </c>
      <c r="H798">
        <v>8</v>
      </c>
      <c r="I798">
        <v>7194</v>
      </c>
    </row>
    <row r="799" spans="1:9" x14ac:dyDescent="0.35">
      <c r="A799" t="s">
        <v>9</v>
      </c>
      <c r="B799" t="s">
        <v>793</v>
      </c>
      <c r="C799" t="s">
        <v>806</v>
      </c>
      <c r="D799" t="str">
        <f>"120204"</f>
        <v>120204</v>
      </c>
      <c r="E799">
        <v>11059</v>
      </c>
      <c r="F799">
        <v>6814</v>
      </c>
      <c r="G799" s="1">
        <v>0.61609999999999998</v>
      </c>
      <c r="H799">
        <v>13</v>
      </c>
      <c r="I799">
        <v>10992</v>
      </c>
    </row>
    <row r="800" spans="1:9" x14ac:dyDescent="0.35">
      <c r="A800" t="s">
        <v>9</v>
      </c>
      <c r="B800" t="s">
        <v>793</v>
      </c>
      <c r="C800" t="s">
        <v>807</v>
      </c>
      <c r="D800" t="str">
        <f>"120205"</f>
        <v>120205</v>
      </c>
      <c r="E800">
        <v>6021</v>
      </c>
      <c r="F800">
        <v>3364</v>
      </c>
      <c r="G800" s="1">
        <v>0.55869999999999997</v>
      </c>
      <c r="H800">
        <v>6</v>
      </c>
      <c r="I800">
        <v>5995</v>
      </c>
    </row>
    <row r="801" spans="1:9" x14ac:dyDescent="0.35">
      <c r="A801" t="s">
        <v>9</v>
      </c>
      <c r="B801" t="s">
        <v>793</v>
      </c>
      <c r="C801" t="s">
        <v>808</v>
      </c>
      <c r="D801" t="str">
        <f>"120206"</f>
        <v>120206</v>
      </c>
      <c r="E801">
        <v>4932</v>
      </c>
      <c r="F801">
        <v>2993</v>
      </c>
      <c r="G801" s="1">
        <v>0.6069</v>
      </c>
      <c r="H801">
        <v>4</v>
      </c>
      <c r="I801">
        <v>4874</v>
      </c>
    </row>
    <row r="802" spans="1:9" x14ac:dyDescent="0.35">
      <c r="A802" t="s">
        <v>9</v>
      </c>
      <c r="B802" t="s">
        <v>793</v>
      </c>
      <c r="C802" t="s">
        <v>809</v>
      </c>
      <c r="D802" t="str">
        <f>"120207"</f>
        <v>120207</v>
      </c>
      <c r="E802">
        <v>7243</v>
      </c>
      <c r="F802">
        <v>3750</v>
      </c>
      <c r="G802" s="1">
        <v>0.51770000000000005</v>
      </c>
      <c r="H802">
        <v>13</v>
      </c>
      <c r="I802">
        <v>7227</v>
      </c>
    </row>
    <row r="803" spans="1:9" x14ac:dyDescent="0.35">
      <c r="A803" t="s">
        <v>9</v>
      </c>
      <c r="B803" t="s">
        <v>793</v>
      </c>
      <c r="C803" t="s">
        <v>810</v>
      </c>
      <c r="D803" t="str">
        <f>"120301"</f>
        <v>120301</v>
      </c>
      <c r="E803">
        <v>9732</v>
      </c>
      <c r="F803">
        <v>5717</v>
      </c>
      <c r="G803" s="1">
        <v>0.58740000000000003</v>
      </c>
      <c r="H803">
        <v>11</v>
      </c>
      <c r="I803">
        <v>9690</v>
      </c>
    </row>
    <row r="804" spans="1:9" x14ac:dyDescent="0.35">
      <c r="A804" t="s">
        <v>9</v>
      </c>
      <c r="B804" t="s">
        <v>793</v>
      </c>
      <c r="C804" t="s">
        <v>811</v>
      </c>
      <c r="D804" t="str">
        <f>"120302"</f>
        <v>120302</v>
      </c>
      <c r="E804">
        <v>7067</v>
      </c>
      <c r="F804">
        <v>4281</v>
      </c>
      <c r="G804" s="1">
        <v>0.60580000000000001</v>
      </c>
      <c r="H804">
        <v>9</v>
      </c>
      <c r="I804">
        <v>7016</v>
      </c>
    </row>
    <row r="805" spans="1:9" x14ac:dyDescent="0.35">
      <c r="A805" t="s">
        <v>9</v>
      </c>
      <c r="B805" t="s">
        <v>793</v>
      </c>
      <c r="C805" t="s">
        <v>382</v>
      </c>
      <c r="D805" t="str">
        <f>"120303"</f>
        <v>120303</v>
      </c>
      <c r="E805">
        <v>34012</v>
      </c>
      <c r="F805">
        <v>19147</v>
      </c>
      <c r="G805" s="1">
        <v>0.56289999999999996</v>
      </c>
      <c r="H805">
        <v>28</v>
      </c>
      <c r="I805">
        <v>33751</v>
      </c>
    </row>
    <row r="806" spans="1:9" x14ac:dyDescent="0.35">
      <c r="A806" t="s">
        <v>9</v>
      </c>
      <c r="B806" t="s">
        <v>793</v>
      </c>
      <c r="C806" t="s">
        <v>812</v>
      </c>
      <c r="D806" t="str">
        <f>"120304"</f>
        <v>120304</v>
      </c>
      <c r="E806">
        <v>16614</v>
      </c>
      <c r="F806">
        <v>9449</v>
      </c>
      <c r="G806" s="1">
        <v>0.56869999999999998</v>
      </c>
      <c r="H806">
        <v>15</v>
      </c>
      <c r="I806">
        <v>16534</v>
      </c>
    </row>
    <row r="807" spans="1:9" x14ac:dyDescent="0.35">
      <c r="A807" t="s">
        <v>9</v>
      </c>
      <c r="B807" t="s">
        <v>793</v>
      </c>
      <c r="C807" t="s">
        <v>813</v>
      </c>
      <c r="D807" t="str">
        <f>"120305"</f>
        <v>120305</v>
      </c>
      <c r="E807">
        <v>25272</v>
      </c>
      <c r="F807">
        <v>14866</v>
      </c>
      <c r="G807" s="1">
        <v>0.58819999999999995</v>
      </c>
      <c r="H807">
        <v>25</v>
      </c>
      <c r="I807">
        <v>25057</v>
      </c>
    </row>
    <row r="808" spans="1:9" x14ac:dyDescent="0.35">
      <c r="A808" t="s">
        <v>9</v>
      </c>
      <c r="B808" t="s">
        <v>793</v>
      </c>
      <c r="C808" t="s">
        <v>814</v>
      </c>
      <c r="D808" t="str">
        <f>"120401"</f>
        <v>120401</v>
      </c>
      <c r="E808">
        <v>2089</v>
      </c>
      <c r="F808">
        <v>918</v>
      </c>
      <c r="G808" s="1">
        <v>0.43940000000000001</v>
      </c>
      <c r="H808">
        <v>3</v>
      </c>
      <c r="I808">
        <v>2077</v>
      </c>
    </row>
    <row r="809" spans="1:9" x14ac:dyDescent="0.35">
      <c r="A809" t="s">
        <v>9</v>
      </c>
      <c r="B809" t="s">
        <v>793</v>
      </c>
      <c r="C809" t="s">
        <v>815</v>
      </c>
      <c r="D809" t="str">
        <f>"120402"</f>
        <v>120402</v>
      </c>
      <c r="E809">
        <v>15918</v>
      </c>
      <c r="F809">
        <v>8529</v>
      </c>
      <c r="G809" s="1">
        <v>0.53580000000000005</v>
      </c>
      <c r="H809">
        <v>18</v>
      </c>
      <c r="I809">
        <v>15865</v>
      </c>
    </row>
    <row r="810" spans="1:9" x14ac:dyDescent="0.35">
      <c r="A810" t="s">
        <v>9</v>
      </c>
      <c r="B810" t="s">
        <v>793</v>
      </c>
      <c r="C810" t="s">
        <v>816</v>
      </c>
      <c r="D810" t="str">
        <f>"120403"</f>
        <v>120403</v>
      </c>
      <c r="E810">
        <v>2540</v>
      </c>
      <c r="F810">
        <v>1275</v>
      </c>
      <c r="G810" s="1">
        <v>0.502</v>
      </c>
      <c r="H810">
        <v>7</v>
      </c>
      <c r="I810">
        <v>2517</v>
      </c>
    </row>
    <row r="811" spans="1:9" x14ac:dyDescent="0.35">
      <c r="A811" t="s">
        <v>9</v>
      </c>
      <c r="B811" t="s">
        <v>793</v>
      </c>
      <c r="C811" t="s">
        <v>817</v>
      </c>
      <c r="D811" t="str">
        <f>"120404"</f>
        <v>120404</v>
      </c>
      <c r="E811">
        <v>2610</v>
      </c>
      <c r="F811">
        <v>1182</v>
      </c>
      <c r="G811" s="1">
        <v>0.45290000000000002</v>
      </c>
      <c r="H811">
        <v>4</v>
      </c>
      <c r="I811">
        <v>2596</v>
      </c>
    </row>
    <row r="812" spans="1:9" x14ac:dyDescent="0.35">
      <c r="A812" t="s">
        <v>9</v>
      </c>
      <c r="B812" t="s">
        <v>793</v>
      </c>
      <c r="C812" t="s">
        <v>818</v>
      </c>
      <c r="D812" t="str">
        <f>"120405"</f>
        <v>120405</v>
      </c>
      <c r="E812">
        <v>5975</v>
      </c>
      <c r="F812">
        <v>3132</v>
      </c>
      <c r="G812" s="1">
        <v>0.5242</v>
      </c>
      <c r="H812">
        <v>10</v>
      </c>
      <c r="I812">
        <v>5949</v>
      </c>
    </row>
    <row r="813" spans="1:9" x14ac:dyDescent="0.35">
      <c r="A813" t="s">
        <v>9</v>
      </c>
      <c r="B813" t="s">
        <v>793</v>
      </c>
      <c r="C813" t="s">
        <v>819</v>
      </c>
      <c r="D813" t="str">
        <f>"120406"</f>
        <v>120406</v>
      </c>
      <c r="E813">
        <v>5725</v>
      </c>
      <c r="F813">
        <v>2961</v>
      </c>
      <c r="G813" s="1">
        <v>0.51719999999999999</v>
      </c>
      <c r="H813">
        <v>7</v>
      </c>
      <c r="I813">
        <v>5719</v>
      </c>
    </row>
    <row r="814" spans="1:9" x14ac:dyDescent="0.35">
      <c r="A814" t="s">
        <v>9</v>
      </c>
      <c r="B814" t="s">
        <v>793</v>
      </c>
      <c r="C814" t="s">
        <v>820</v>
      </c>
      <c r="D814" t="str">
        <f>"120407"</f>
        <v>120407</v>
      </c>
      <c r="E814">
        <v>9797</v>
      </c>
      <c r="F814">
        <v>4782</v>
      </c>
      <c r="G814" s="1">
        <v>0.48809999999999998</v>
      </c>
      <c r="H814">
        <v>11</v>
      </c>
      <c r="I814">
        <v>9772</v>
      </c>
    </row>
    <row r="815" spans="1:9" x14ac:dyDescent="0.35">
      <c r="A815" t="s">
        <v>9</v>
      </c>
      <c r="B815" t="s">
        <v>793</v>
      </c>
      <c r="C815" t="s">
        <v>821</v>
      </c>
      <c r="D815" t="str">
        <f>"120501"</f>
        <v>120501</v>
      </c>
      <c r="E815">
        <v>19597</v>
      </c>
      <c r="F815">
        <v>11259</v>
      </c>
      <c r="G815" s="1">
        <v>0.57450000000000001</v>
      </c>
      <c r="H815">
        <v>19</v>
      </c>
      <c r="I815">
        <v>19490</v>
      </c>
    </row>
    <row r="816" spans="1:9" x14ac:dyDescent="0.35">
      <c r="A816" t="s">
        <v>9</v>
      </c>
      <c r="B816" t="s">
        <v>793</v>
      </c>
      <c r="C816" t="s">
        <v>822</v>
      </c>
      <c r="D816" t="str">
        <f>"120502"</f>
        <v>120502</v>
      </c>
      <c r="E816">
        <v>12746</v>
      </c>
      <c r="F816">
        <v>7100</v>
      </c>
      <c r="G816" s="1">
        <v>0.55700000000000005</v>
      </c>
      <c r="H816">
        <v>12</v>
      </c>
      <c r="I816">
        <v>12671</v>
      </c>
    </row>
    <row r="817" spans="1:9" x14ac:dyDescent="0.35">
      <c r="A817" t="s">
        <v>9</v>
      </c>
      <c r="B817" t="s">
        <v>793</v>
      </c>
      <c r="C817" t="s">
        <v>823</v>
      </c>
      <c r="D817" t="str">
        <f>"120503"</f>
        <v>120503</v>
      </c>
      <c r="E817">
        <v>7129</v>
      </c>
      <c r="F817">
        <v>4335</v>
      </c>
      <c r="G817" s="1">
        <v>0.60809999999999997</v>
      </c>
      <c r="H817">
        <v>7</v>
      </c>
      <c r="I817">
        <v>7086</v>
      </c>
    </row>
    <row r="818" spans="1:9" x14ac:dyDescent="0.35">
      <c r="A818" t="s">
        <v>9</v>
      </c>
      <c r="B818" t="s">
        <v>793</v>
      </c>
      <c r="C818" t="s">
        <v>824</v>
      </c>
      <c r="D818" t="str">
        <f>"120504"</f>
        <v>120504</v>
      </c>
      <c r="E818">
        <v>13066</v>
      </c>
      <c r="F818">
        <v>7548</v>
      </c>
      <c r="G818" s="1">
        <v>0.57769999999999999</v>
      </c>
      <c r="H818">
        <v>11</v>
      </c>
      <c r="I818">
        <v>13032</v>
      </c>
    </row>
    <row r="819" spans="1:9" x14ac:dyDescent="0.35">
      <c r="A819" t="s">
        <v>9</v>
      </c>
      <c r="B819" t="s">
        <v>793</v>
      </c>
      <c r="C819" t="s">
        <v>825</v>
      </c>
      <c r="D819" t="str">
        <f>"120505"</f>
        <v>120505</v>
      </c>
      <c r="E819">
        <v>5275</v>
      </c>
      <c r="F819">
        <v>2918</v>
      </c>
      <c r="G819" s="1">
        <v>0.55320000000000003</v>
      </c>
      <c r="H819">
        <v>7</v>
      </c>
      <c r="I819">
        <v>5210</v>
      </c>
    </row>
    <row r="820" spans="1:9" x14ac:dyDescent="0.35">
      <c r="A820" t="s">
        <v>9</v>
      </c>
      <c r="B820" t="s">
        <v>793</v>
      </c>
      <c r="C820" t="s">
        <v>826</v>
      </c>
      <c r="D820" t="str">
        <f>"120506"</f>
        <v>120506</v>
      </c>
      <c r="E820">
        <v>6423</v>
      </c>
      <c r="F820">
        <v>3664</v>
      </c>
      <c r="G820" s="1">
        <v>0.57040000000000002</v>
      </c>
      <c r="H820">
        <v>9</v>
      </c>
      <c r="I820">
        <v>6396</v>
      </c>
    </row>
    <row r="821" spans="1:9" x14ac:dyDescent="0.35">
      <c r="A821" t="s">
        <v>9</v>
      </c>
      <c r="B821" t="s">
        <v>793</v>
      </c>
      <c r="C821" t="s">
        <v>695</v>
      </c>
      <c r="D821" t="str">
        <f>"120507"</f>
        <v>120507</v>
      </c>
      <c r="E821">
        <v>3764</v>
      </c>
      <c r="F821">
        <v>2080</v>
      </c>
      <c r="G821" s="1">
        <v>0.55259999999999998</v>
      </c>
      <c r="H821">
        <v>3</v>
      </c>
      <c r="I821">
        <v>3748</v>
      </c>
    </row>
    <row r="822" spans="1:9" x14ac:dyDescent="0.35">
      <c r="A822" t="s">
        <v>9</v>
      </c>
      <c r="B822" t="s">
        <v>793</v>
      </c>
      <c r="C822" t="s">
        <v>827</v>
      </c>
      <c r="D822" t="str">
        <f>"120508"</f>
        <v>120508</v>
      </c>
      <c r="E822">
        <v>4055</v>
      </c>
      <c r="F822">
        <v>2506</v>
      </c>
      <c r="G822" s="1">
        <v>0.61799999999999999</v>
      </c>
      <c r="H822">
        <v>5</v>
      </c>
      <c r="I822">
        <v>4030</v>
      </c>
    </row>
    <row r="823" spans="1:9" x14ac:dyDescent="0.35">
      <c r="A823" t="s">
        <v>9</v>
      </c>
      <c r="B823" t="s">
        <v>793</v>
      </c>
      <c r="C823" t="s">
        <v>828</v>
      </c>
      <c r="D823" t="str">
        <f>"120509"</f>
        <v>120509</v>
      </c>
      <c r="E823">
        <v>3915</v>
      </c>
      <c r="F823">
        <v>2259</v>
      </c>
      <c r="G823" s="1">
        <v>0.57699999999999996</v>
      </c>
      <c r="H823">
        <v>9</v>
      </c>
      <c r="I823">
        <v>3846</v>
      </c>
    </row>
    <row r="824" spans="1:9" x14ac:dyDescent="0.35">
      <c r="A824" t="s">
        <v>9</v>
      </c>
      <c r="B824" t="s">
        <v>793</v>
      </c>
      <c r="C824" t="s">
        <v>829</v>
      </c>
      <c r="D824" t="str">
        <f>"120510"</f>
        <v>120510</v>
      </c>
      <c r="E824">
        <v>5537</v>
      </c>
      <c r="F824">
        <v>3318</v>
      </c>
      <c r="G824" s="1">
        <v>0.59919999999999995</v>
      </c>
      <c r="H824">
        <v>12</v>
      </c>
      <c r="I824">
        <v>5211</v>
      </c>
    </row>
    <row r="825" spans="1:9" x14ac:dyDescent="0.35">
      <c r="A825" t="s">
        <v>9</v>
      </c>
      <c r="B825" t="s">
        <v>793</v>
      </c>
      <c r="C825" t="s">
        <v>830</v>
      </c>
      <c r="D825" t="str">
        <f>"120601"</f>
        <v>120601</v>
      </c>
      <c r="E825">
        <v>11616</v>
      </c>
      <c r="F825">
        <v>6399</v>
      </c>
      <c r="G825" s="1">
        <v>0.55089999999999995</v>
      </c>
      <c r="H825">
        <v>12</v>
      </c>
      <c r="I825">
        <v>11583</v>
      </c>
    </row>
    <row r="826" spans="1:9" x14ac:dyDescent="0.35">
      <c r="A826" t="s">
        <v>9</v>
      </c>
      <c r="B826" t="s">
        <v>793</v>
      </c>
      <c r="C826" t="s">
        <v>831</v>
      </c>
      <c r="D826" t="str">
        <f>"120602"</f>
        <v>120602</v>
      </c>
      <c r="E826">
        <v>6071</v>
      </c>
      <c r="F826">
        <v>3225</v>
      </c>
      <c r="G826" s="1">
        <v>0.53120000000000001</v>
      </c>
      <c r="H826">
        <v>9</v>
      </c>
      <c r="I826">
        <v>6054</v>
      </c>
    </row>
    <row r="827" spans="1:9" x14ac:dyDescent="0.35">
      <c r="A827" t="s">
        <v>9</v>
      </c>
      <c r="B827" t="s">
        <v>793</v>
      </c>
      <c r="C827" t="s">
        <v>832</v>
      </c>
      <c r="D827" t="str">
        <f>"120603"</f>
        <v>120603</v>
      </c>
      <c r="E827">
        <v>7299</v>
      </c>
      <c r="F827">
        <v>4215</v>
      </c>
      <c r="G827" s="1">
        <v>0.57750000000000001</v>
      </c>
      <c r="H827">
        <v>11</v>
      </c>
      <c r="I827">
        <v>7239</v>
      </c>
    </row>
    <row r="828" spans="1:9" x14ac:dyDescent="0.35">
      <c r="A828" t="s">
        <v>9</v>
      </c>
      <c r="B828" t="s">
        <v>793</v>
      </c>
      <c r="C828" t="s">
        <v>833</v>
      </c>
      <c r="D828" t="str">
        <f>"120604"</f>
        <v>120604</v>
      </c>
      <c r="E828">
        <v>8589</v>
      </c>
      <c r="F828">
        <v>4743</v>
      </c>
      <c r="G828" s="1">
        <v>0.55220000000000002</v>
      </c>
      <c r="H828">
        <v>8</v>
      </c>
      <c r="I828">
        <v>8569</v>
      </c>
    </row>
    <row r="829" spans="1:9" x14ac:dyDescent="0.35">
      <c r="A829" t="s">
        <v>9</v>
      </c>
      <c r="B829" t="s">
        <v>793</v>
      </c>
      <c r="C829" t="s">
        <v>834</v>
      </c>
      <c r="D829" t="str">
        <f>"120605"</f>
        <v>120605</v>
      </c>
      <c r="E829">
        <v>12860</v>
      </c>
      <c r="F829">
        <v>7805</v>
      </c>
      <c r="G829" s="1">
        <v>0.6069</v>
      </c>
      <c r="H829">
        <v>20</v>
      </c>
      <c r="I829">
        <v>12789</v>
      </c>
    </row>
    <row r="830" spans="1:9" x14ac:dyDescent="0.35">
      <c r="A830" t="s">
        <v>9</v>
      </c>
      <c r="B830" t="s">
        <v>793</v>
      </c>
      <c r="C830" t="s">
        <v>835</v>
      </c>
      <c r="D830" t="str">
        <f>"120606"</f>
        <v>120606</v>
      </c>
      <c r="E830">
        <v>24789</v>
      </c>
      <c r="F830">
        <v>14552</v>
      </c>
      <c r="G830" s="1">
        <v>0.58699999999999997</v>
      </c>
      <c r="H830">
        <v>25</v>
      </c>
      <c r="I830">
        <v>24659</v>
      </c>
    </row>
    <row r="831" spans="1:9" x14ac:dyDescent="0.35">
      <c r="A831" t="s">
        <v>9</v>
      </c>
      <c r="B831" t="s">
        <v>793</v>
      </c>
      <c r="C831" t="s">
        <v>836</v>
      </c>
      <c r="D831" t="str">
        <f>"120607"</f>
        <v>120607</v>
      </c>
      <c r="E831">
        <v>13692</v>
      </c>
      <c r="F831">
        <v>7931</v>
      </c>
      <c r="G831" s="1">
        <v>0.57920000000000005</v>
      </c>
      <c r="H831">
        <v>13</v>
      </c>
      <c r="I831">
        <v>13554</v>
      </c>
    </row>
    <row r="832" spans="1:9" x14ac:dyDescent="0.35">
      <c r="A832" t="s">
        <v>9</v>
      </c>
      <c r="B832" t="s">
        <v>793</v>
      </c>
      <c r="C832" t="s">
        <v>837</v>
      </c>
      <c r="D832" t="str">
        <f>"120608"</f>
        <v>120608</v>
      </c>
      <c r="E832">
        <v>8905</v>
      </c>
      <c r="F832">
        <v>5647</v>
      </c>
      <c r="G832" s="1">
        <v>0.6341</v>
      </c>
      <c r="H832">
        <v>9</v>
      </c>
      <c r="I832">
        <v>8865</v>
      </c>
    </row>
    <row r="833" spans="1:9" x14ac:dyDescent="0.35">
      <c r="A833" t="s">
        <v>9</v>
      </c>
      <c r="B833" t="s">
        <v>793</v>
      </c>
      <c r="C833" t="s">
        <v>838</v>
      </c>
      <c r="D833" t="str">
        <f>"120609"</f>
        <v>120609</v>
      </c>
      <c r="E833">
        <v>11292</v>
      </c>
      <c r="F833">
        <v>6725</v>
      </c>
      <c r="G833" s="1">
        <v>0.59560000000000002</v>
      </c>
      <c r="H833">
        <v>10</v>
      </c>
      <c r="I833">
        <v>11262</v>
      </c>
    </row>
    <row r="834" spans="1:9" x14ac:dyDescent="0.35">
      <c r="A834" t="s">
        <v>9</v>
      </c>
      <c r="B834" t="s">
        <v>793</v>
      </c>
      <c r="C834" t="s">
        <v>839</v>
      </c>
      <c r="D834" t="str">
        <f>"120610"</f>
        <v>120610</v>
      </c>
      <c r="E834">
        <v>8276</v>
      </c>
      <c r="F834">
        <v>5070</v>
      </c>
      <c r="G834" s="1">
        <v>0.61260000000000003</v>
      </c>
      <c r="H834">
        <v>12</v>
      </c>
      <c r="I834">
        <v>8255</v>
      </c>
    </row>
    <row r="835" spans="1:9" x14ac:dyDescent="0.35">
      <c r="A835" t="s">
        <v>9</v>
      </c>
      <c r="B835" t="s">
        <v>793</v>
      </c>
      <c r="C835" t="s">
        <v>840</v>
      </c>
      <c r="D835" t="str">
        <f>"120611"</f>
        <v>120611</v>
      </c>
      <c r="E835">
        <v>33163</v>
      </c>
      <c r="F835">
        <v>18519</v>
      </c>
      <c r="G835" s="1">
        <v>0.55840000000000001</v>
      </c>
      <c r="H835">
        <v>29</v>
      </c>
      <c r="I835">
        <v>32981</v>
      </c>
    </row>
    <row r="836" spans="1:9" x14ac:dyDescent="0.35">
      <c r="A836" t="s">
        <v>9</v>
      </c>
      <c r="B836" t="s">
        <v>793</v>
      </c>
      <c r="C836" t="s">
        <v>841</v>
      </c>
      <c r="D836" t="str">
        <f>"120612"</f>
        <v>120612</v>
      </c>
      <c r="E836">
        <v>10489</v>
      </c>
      <c r="F836">
        <v>6060</v>
      </c>
      <c r="G836" s="1">
        <v>0.57769999999999999</v>
      </c>
      <c r="H836">
        <v>20</v>
      </c>
      <c r="I836">
        <v>10447</v>
      </c>
    </row>
    <row r="837" spans="1:9" x14ac:dyDescent="0.35">
      <c r="A837" t="s">
        <v>9</v>
      </c>
      <c r="B837" t="s">
        <v>793</v>
      </c>
      <c r="C837" t="s">
        <v>842</v>
      </c>
      <c r="D837" t="str">
        <f>"120613"</f>
        <v>120613</v>
      </c>
      <c r="E837">
        <v>4581</v>
      </c>
      <c r="F837">
        <v>2586</v>
      </c>
      <c r="G837" s="1">
        <v>0.5645</v>
      </c>
      <c r="H837">
        <v>5</v>
      </c>
      <c r="I837">
        <v>4451</v>
      </c>
    </row>
    <row r="838" spans="1:9" x14ac:dyDescent="0.35">
      <c r="A838" t="s">
        <v>9</v>
      </c>
      <c r="B838" t="s">
        <v>793</v>
      </c>
      <c r="C838" t="s">
        <v>843</v>
      </c>
      <c r="D838" t="str">
        <f>"120614"</f>
        <v>120614</v>
      </c>
      <c r="E838">
        <v>8160</v>
      </c>
      <c r="F838">
        <v>4669</v>
      </c>
      <c r="G838" s="1">
        <v>0.57220000000000004</v>
      </c>
      <c r="H838">
        <v>5</v>
      </c>
      <c r="I838">
        <v>8084</v>
      </c>
    </row>
    <row r="839" spans="1:9" x14ac:dyDescent="0.35">
      <c r="A839" t="s">
        <v>9</v>
      </c>
      <c r="B839" t="s">
        <v>793</v>
      </c>
      <c r="C839" t="s">
        <v>844</v>
      </c>
      <c r="D839" t="str">
        <f>"120615"</f>
        <v>120615</v>
      </c>
      <c r="E839">
        <v>11064</v>
      </c>
      <c r="F839">
        <v>7195</v>
      </c>
      <c r="G839" s="1">
        <v>0.65029999999999999</v>
      </c>
      <c r="H839">
        <v>12</v>
      </c>
      <c r="I839">
        <v>11014</v>
      </c>
    </row>
    <row r="840" spans="1:9" x14ac:dyDescent="0.35">
      <c r="A840" t="s">
        <v>9</v>
      </c>
      <c r="B840" t="s">
        <v>793</v>
      </c>
      <c r="C840" t="s">
        <v>845</v>
      </c>
      <c r="D840" t="str">
        <f>"120616"</f>
        <v>120616</v>
      </c>
      <c r="E840">
        <v>21603</v>
      </c>
      <c r="F840">
        <v>14176</v>
      </c>
      <c r="G840" s="1">
        <v>0.65620000000000001</v>
      </c>
      <c r="H840">
        <v>24</v>
      </c>
      <c r="I840">
        <v>21437</v>
      </c>
    </row>
    <row r="841" spans="1:9" x14ac:dyDescent="0.35">
      <c r="A841" t="s">
        <v>9</v>
      </c>
      <c r="B841" t="s">
        <v>793</v>
      </c>
      <c r="C841" t="s">
        <v>846</v>
      </c>
      <c r="D841" t="str">
        <f>"120617"</f>
        <v>120617</v>
      </c>
      <c r="E841">
        <v>17914</v>
      </c>
      <c r="F841">
        <v>11632</v>
      </c>
      <c r="G841" s="1">
        <v>0.64929999999999999</v>
      </c>
      <c r="H841">
        <v>19</v>
      </c>
      <c r="I841">
        <v>17796</v>
      </c>
    </row>
    <row r="842" spans="1:9" x14ac:dyDescent="0.35">
      <c r="A842" t="s">
        <v>9</v>
      </c>
      <c r="B842" t="s">
        <v>793</v>
      </c>
      <c r="C842" t="s">
        <v>847</v>
      </c>
      <c r="D842" t="str">
        <f>"120701"</f>
        <v>120701</v>
      </c>
      <c r="E842">
        <v>10832</v>
      </c>
      <c r="F842">
        <v>6572</v>
      </c>
      <c r="G842" s="1">
        <v>0.60670000000000002</v>
      </c>
      <c r="H842">
        <v>12</v>
      </c>
      <c r="I842">
        <v>10738</v>
      </c>
    </row>
    <row r="843" spans="1:9" x14ac:dyDescent="0.35">
      <c r="A843" t="s">
        <v>9</v>
      </c>
      <c r="B843" t="s">
        <v>793</v>
      </c>
      <c r="C843" t="s">
        <v>848</v>
      </c>
      <c r="D843" t="str">
        <f>"120702"</f>
        <v>120702</v>
      </c>
      <c r="E843">
        <v>5983</v>
      </c>
      <c r="F843">
        <v>3348</v>
      </c>
      <c r="G843" s="1">
        <v>0.55959999999999999</v>
      </c>
      <c r="H843">
        <v>4</v>
      </c>
      <c r="I843">
        <v>5899</v>
      </c>
    </row>
    <row r="844" spans="1:9" x14ac:dyDescent="0.35">
      <c r="A844" t="s">
        <v>9</v>
      </c>
      <c r="B844" t="s">
        <v>793</v>
      </c>
      <c r="C844" t="s">
        <v>849</v>
      </c>
      <c r="D844" t="str">
        <f>"120703"</f>
        <v>120703</v>
      </c>
      <c r="E844">
        <v>7598</v>
      </c>
      <c r="F844">
        <v>4197</v>
      </c>
      <c r="G844" s="1">
        <v>0.5524</v>
      </c>
      <c r="H844">
        <v>10</v>
      </c>
      <c r="I844">
        <v>7535</v>
      </c>
    </row>
    <row r="845" spans="1:9" x14ac:dyDescent="0.35">
      <c r="A845" t="s">
        <v>9</v>
      </c>
      <c r="B845" t="s">
        <v>793</v>
      </c>
      <c r="C845" t="s">
        <v>850</v>
      </c>
      <c r="D845" t="str">
        <f>"120704"</f>
        <v>120704</v>
      </c>
      <c r="E845">
        <v>6377</v>
      </c>
      <c r="F845">
        <v>3737</v>
      </c>
      <c r="G845" s="1">
        <v>0.58599999999999997</v>
      </c>
      <c r="H845">
        <v>12</v>
      </c>
      <c r="I845">
        <v>6326</v>
      </c>
    </row>
    <row r="846" spans="1:9" x14ac:dyDescent="0.35">
      <c r="A846" t="s">
        <v>9</v>
      </c>
      <c r="B846" t="s">
        <v>793</v>
      </c>
      <c r="C846" t="s">
        <v>851</v>
      </c>
      <c r="D846" t="str">
        <f>"120705"</f>
        <v>120705</v>
      </c>
      <c r="E846">
        <v>5907</v>
      </c>
      <c r="F846">
        <v>3320</v>
      </c>
      <c r="G846" s="1">
        <v>0.56200000000000006</v>
      </c>
      <c r="H846">
        <v>6</v>
      </c>
      <c r="I846">
        <v>5782</v>
      </c>
    </row>
    <row r="847" spans="1:9" x14ac:dyDescent="0.35">
      <c r="A847" t="s">
        <v>9</v>
      </c>
      <c r="B847" t="s">
        <v>793</v>
      </c>
      <c r="C847" t="s">
        <v>852</v>
      </c>
      <c r="D847" t="str">
        <f>"120706"</f>
        <v>120706</v>
      </c>
      <c r="E847">
        <v>6054</v>
      </c>
      <c r="F847">
        <v>3964</v>
      </c>
      <c r="G847" s="1">
        <v>0.65480000000000005</v>
      </c>
      <c r="H847">
        <v>8</v>
      </c>
      <c r="I847">
        <v>6020</v>
      </c>
    </row>
    <row r="848" spans="1:9" x14ac:dyDescent="0.35">
      <c r="A848" t="s">
        <v>9</v>
      </c>
      <c r="B848" t="s">
        <v>793</v>
      </c>
      <c r="C848" t="s">
        <v>853</v>
      </c>
      <c r="D848" t="str">
        <f>"120707"</f>
        <v>120707</v>
      </c>
      <c r="E848">
        <v>19055</v>
      </c>
      <c r="F848">
        <v>11920</v>
      </c>
      <c r="G848" s="1">
        <v>0.62560000000000004</v>
      </c>
      <c r="H848">
        <v>20</v>
      </c>
      <c r="I848">
        <v>18868</v>
      </c>
    </row>
    <row r="849" spans="1:9" x14ac:dyDescent="0.35">
      <c r="A849" t="s">
        <v>9</v>
      </c>
      <c r="B849" t="s">
        <v>793</v>
      </c>
      <c r="C849" t="s">
        <v>854</v>
      </c>
      <c r="D849" t="str">
        <f>"120708"</f>
        <v>120708</v>
      </c>
      <c r="E849">
        <v>7463</v>
      </c>
      <c r="F849">
        <v>4583</v>
      </c>
      <c r="G849" s="1">
        <v>0.61409999999999998</v>
      </c>
      <c r="H849">
        <v>8</v>
      </c>
      <c r="I849">
        <v>7408</v>
      </c>
    </row>
    <row r="850" spans="1:9" x14ac:dyDescent="0.35">
      <c r="A850" t="s">
        <v>9</v>
      </c>
      <c r="B850" t="s">
        <v>793</v>
      </c>
      <c r="C850" t="s">
        <v>855</v>
      </c>
      <c r="D850" t="str">
        <f>"120709"</f>
        <v>120709</v>
      </c>
      <c r="E850">
        <v>12891</v>
      </c>
      <c r="F850">
        <v>7399</v>
      </c>
      <c r="G850" s="1">
        <v>0.57399999999999995</v>
      </c>
      <c r="H850">
        <v>12</v>
      </c>
      <c r="I850">
        <v>12833</v>
      </c>
    </row>
    <row r="851" spans="1:9" x14ac:dyDescent="0.35">
      <c r="A851" t="s">
        <v>9</v>
      </c>
      <c r="B851" t="s">
        <v>793</v>
      </c>
      <c r="C851" t="s">
        <v>856</v>
      </c>
      <c r="D851" t="str">
        <f>"120710"</f>
        <v>120710</v>
      </c>
      <c r="E851">
        <v>5414</v>
      </c>
      <c r="F851">
        <v>2755</v>
      </c>
      <c r="G851" s="1">
        <v>0.50890000000000002</v>
      </c>
      <c r="H851">
        <v>4</v>
      </c>
      <c r="I851">
        <v>5374</v>
      </c>
    </row>
    <row r="852" spans="1:9" x14ac:dyDescent="0.35">
      <c r="A852" t="s">
        <v>9</v>
      </c>
      <c r="B852" t="s">
        <v>793</v>
      </c>
      <c r="C852" t="s">
        <v>857</v>
      </c>
      <c r="D852" t="str">
        <f>"120711"</f>
        <v>120711</v>
      </c>
      <c r="E852">
        <v>5018</v>
      </c>
      <c r="F852">
        <v>3066</v>
      </c>
      <c r="G852" s="1">
        <v>0.61099999999999999</v>
      </c>
      <c r="H852">
        <v>5</v>
      </c>
      <c r="I852">
        <v>4991</v>
      </c>
    </row>
    <row r="853" spans="1:9" x14ac:dyDescent="0.35">
      <c r="A853" t="s">
        <v>9</v>
      </c>
      <c r="B853" t="s">
        <v>793</v>
      </c>
      <c r="C853" t="s">
        <v>858</v>
      </c>
      <c r="D853" t="str">
        <f>"120712"</f>
        <v>120712</v>
      </c>
      <c r="E853">
        <v>4800</v>
      </c>
      <c r="F853">
        <v>2936</v>
      </c>
      <c r="G853" s="1">
        <v>0.61170000000000002</v>
      </c>
      <c r="H853">
        <v>6</v>
      </c>
      <c r="I853">
        <v>4784</v>
      </c>
    </row>
    <row r="854" spans="1:9" x14ac:dyDescent="0.35">
      <c r="A854" t="s">
        <v>9</v>
      </c>
      <c r="B854" t="s">
        <v>793</v>
      </c>
      <c r="C854" t="s">
        <v>859</v>
      </c>
      <c r="D854" t="str">
        <f>"120801"</f>
        <v>120801</v>
      </c>
      <c r="E854">
        <v>5799</v>
      </c>
      <c r="F854">
        <v>3139</v>
      </c>
      <c r="G854" s="1">
        <v>0.5413</v>
      </c>
      <c r="H854">
        <v>11</v>
      </c>
      <c r="I854">
        <v>5785</v>
      </c>
    </row>
    <row r="855" spans="1:9" x14ac:dyDescent="0.35">
      <c r="A855" t="s">
        <v>9</v>
      </c>
      <c r="B855" t="s">
        <v>793</v>
      </c>
      <c r="C855" t="s">
        <v>860</v>
      </c>
      <c r="D855" t="str">
        <f>"120802"</f>
        <v>120802</v>
      </c>
      <c r="E855">
        <v>4750</v>
      </c>
      <c r="F855">
        <v>2698</v>
      </c>
      <c r="G855" s="1">
        <v>0.56799999999999995</v>
      </c>
      <c r="H855">
        <v>10</v>
      </c>
      <c r="I855">
        <v>4747</v>
      </c>
    </row>
    <row r="856" spans="1:9" x14ac:dyDescent="0.35">
      <c r="A856" t="s">
        <v>9</v>
      </c>
      <c r="B856" t="s">
        <v>793</v>
      </c>
      <c r="C856" t="s">
        <v>861</v>
      </c>
      <c r="D856" t="str">
        <f>"120803"</f>
        <v>120803</v>
      </c>
      <c r="E856">
        <v>3694</v>
      </c>
      <c r="F856">
        <v>1874</v>
      </c>
      <c r="G856" s="1">
        <v>0.50729999999999997</v>
      </c>
      <c r="H856">
        <v>9</v>
      </c>
      <c r="I856">
        <v>3678</v>
      </c>
    </row>
    <row r="857" spans="1:9" x14ac:dyDescent="0.35">
      <c r="A857" t="s">
        <v>9</v>
      </c>
      <c r="B857" t="s">
        <v>793</v>
      </c>
      <c r="C857" t="s">
        <v>862</v>
      </c>
      <c r="D857" t="str">
        <f>"120804"</f>
        <v>120804</v>
      </c>
      <c r="E857">
        <v>3906</v>
      </c>
      <c r="F857">
        <v>2289</v>
      </c>
      <c r="G857" s="1">
        <v>0.58599999999999997</v>
      </c>
      <c r="H857">
        <v>13</v>
      </c>
      <c r="I857">
        <v>3858</v>
      </c>
    </row>
    <row r="858" spans="1:9" x14ac:dyDescent="0.35">
      <c r="A858" t="s">
        <v>9</v>
      </c>
      <c r="B858" t="s">
        <v>793</v>
      </c>
      <c r="C858" t="s">
        <v>863</v>
      </c>
      <c r="D858" t="str">
        <f>"120805"</f>
        <v>120805</v>
      </c>
      <c r="E858">
        <v>14641</v>
      </c>
      <c r="F858">
        <v>7850</v>
      </c>
      <c r="G858" s="1">
        <v>0.53620000000000001</v>
      </c>
      <c r="H858">
        <v>27</v>
      </c>
      <c r="I858">
        <v>14560</v>
      </c>
    </row>
    <row r="859" spans="1:9" x14ac:dyDescent="0.35">
      <c r="A859" t="s">
        <v>9</v>
      </c>
      <c r="B859" t="s">
        <v>793</v>
      </c>
      <c r="C859" t="s">
        <v>864</v>
      </c>
      <c r="D859" t="str">
        <f>"120806"</f>
        <v>120806</v>
      </c>
      <c r="E859">
        <v>1977</v>
      </c>
      <c r="F859">
        <v>1054</v>
      </c>
      <c r="G859" s="1">
        <v>0.53310000000000002</v>
      </c>
      <c r="H859">
        <v>5</v>
      </c>
      <c r="I859">
        <v>1958</v>
      </c>
    </row>
    <row r="860" spans="1:9" x14ac:dyDescent="0.35">
      <c r="A860" t="s">
        <v>9</v>
      </c>
      <c r="B860" t="s">
        <v>793</v>
      </c>
      <c r="C860" t="s">
        <v>865</v>
      </c>
      <c r="D860" t="str">
        <f>"120807"</f>
        <v>120807</v>
      </c>
      <c r="E860">
        <v>2795</v>
      </c>
      <c r="F860">
        <v>1446</v>
      </c>
      <c r="G860" s="1">
        <v>0.51739999999999997</v>
      </c>
      <c r="H860">
        <v>8</v>
      </c>
      <c r="I860">
        <v>2789</v>
      </c>
    </row>
    <row r="861" spans="1:9" x14ac:dyDescent="0.35">
      <c r="A861" t="s">
        <v>9</v>
      </c>
      <c r="B861" t="s">
        <v>793</v>
      </c>
      <c r="C861" t="s">
        <v>866</v>
      </c>
      <c r="D861" t="str">
        <f>"120901"</f>
        <v>120901</v>
      </c>
      <c r="E861">
        <v>11689</v>
      </c>
      <c r="F861">
        <v>7113</v>
      </c>
      <c r="G861" s="1">
        <v>0.60850000000000004</v>
      </c>
      <c r="H861">
        <v>15</v>
      </c>
      <c r="I861">
        <v>11574</v>
      </c>
    </row>
    <row r="862" spans="1:9" x14ac:dyDescent="0.35">
      <c r="A862" t="s">
        <v>9</v>
      </c>
      <c r="B862" t="s">
        <v>793</v>
      </c>
      <c r="C862" t="s">
        <v>867</v>
      </c>
      <c r="D862" t="str">
        <f>"120902"</f>
        <v>120902</v>
      </c>
      <c r="E862">
        <v>7424</v>
      </c>
      <c r="F862">
        <v>4308</v>
      </c>
      <c r="G862" s="1">
        <v>0.58030000000000004</v>
      </c>
      <c r="H862">
        <v>5</v>
      </c>
      <c r="I862">
        <v>7390</v>
      </c>
    </row>
    <row r="863" spans="1:9" x14ac:dyDescent="0.35">
      <c r="A863" t="s">
        <v>9</v>
      </c>
      <c r="B863" t="s">
        <v>793</v>
      </c>
      <c r="C863" t="s">
        <v>868</v>
      </c>
      <c r="D863" t="str">
        <f>"120903"</f>
        <v>120903</v>
      </c>
      <c r="E863">
        <v>34260</v>
      </c>
      <c r="F863">
        <v>20878</v>
      </c>
      <c r="G863" s="1">
        <v>0.60940000000000005</v>
      </c>
      <c r="H863">
        <v>25</v>
      </c>
      <c r="I863">
        <v>33847</v>
      </c>
    </row>
    <row r="864" spans="1:9" x14ac:dyDescent="0.35">
      <c r="A864" t="s">
        <v>9</v>
      </c>
      <c r="B864" t="s">
        <v>793</v>
      </c>
      <c r="C864" t="s">
        <v>869</v>
      </c>
      <c r="D864" t="str">
        <f>"120904"</f>
        <v>120904</v>
      </c>
      <c r="E864">
        <v>8417</v>
      </c>
      <c r="F864">
        <v>4914</v>
      </c>
      <c r="G864" s="1">
        <v>0.58379999999999999</v>
      </c>
      <c r="H864">
        <v>7</v>
      </c>
      <c r="I864">
        <v>8353</v>
      </c>
    </row>
    <row r="865" spans="1:9" x14ac:dyDescent="0.35">
      <c r="A865" t="s">
        <v>9</v>
      </c>
      <c r="B865" t="s">
        <v>793</v>
      </c>
      <c r="C865" t="s">
        <v>870</v>
      </c>
      <c r="D865" t="str">
        <f>"120905"</f>
        <v>120905</v>
      </c>
      <c r="E865">
        <v>4974</v>
      </c>
      <c r="F865">
        <v>2915</v>
      </c>
      <c r="G865" s="1">
        <v>0.58599999999999997</v>
      </c>
      <c r="H865">
        <v>11</v>
      </c>
      <c r="I865">
        <v>4957</v>
      </c>
    </row>
    <row r="866" spans="1:9" x14ac:dyDescent="0.35">
      <c r="A866" t="s">
        <v>9</v>
      </c>
      <c r="B866" t="s">
        <v>793</v>
      </c>
      <c r="C866" t="s">
        <v>871</v>
      </c>
      <c r="D866" t="str">
        <f>"120906"</f>
        <v>120906</v>
      </c>
      <c r="E866">
        <v>7034</v>
      </c>
      <c r="F866">
        <v>4170</v>
      </c>
      <c r="G866" s="1">
        <v>0.59279999999999999</v>
      </c>
      <c r="H866">
        <v>6</v>
      </c>
      <c r="I866">
        <v>7004</v>
      </c>
    </row>
    <row r="867" spans="1:9" x14ac:dyDescent="0.35">
      <c r="A867" t="s">
        <v>9</v>
      </c>
      <c r="B867" t="s">
        <v>793</v>
      </c>
      <c r="C867" t="s">
        <v>872</v>
      </c>
      <c r="D867" t="str">
        <f>"120907"</f>
        <v>120907</v>
      </c>
      <c r="E867">
        <v>11507</v>
      </c>
      <c r="F867">
        <v>6893</v>
      </c>
      <c r="G867" s="1">
        <v>0.59899999999999998</v>
      </c>
      <c r="H867">
        <v>9</v>
      </c>
      <c r="I867">
        <v>11470</v>
      </c>
    </row>
    <row r="868" spans="1:9" x14ac:dyDescent="0.35">
      <c r="A868" t="s">
        <v>9</v>
      </c>
      <c r="B868" t="s">
        <v>793</v>
      </c>
      <c r="C868" t="s">
        <v>873</v>
      </c>
      <c r="D868" t="str">
        <f>"120908"</f>
        <v>120908</v>
      </c>
      <c r="E868">
        <v>6549</v>
      </c>
      <c r="F868">
        <v>4191</v>
      </c>
      <c r="G868" s="1">
        <v>0.63990000000000002</v>
      </c>
      <c r="H868">
        <v>6</v>
      </c>
      <c r="I868">
        <v>6527</v>
      </c>
    </row>
    <row r="869" spans="1:9" x14ac:dyDescent="0.35">
      <c r="A869" t="s">
        <v>9</v>
      </c>
      <c r="B869" t="s">
        <v>793</v>
      </c>
      <c r="C869" t="s">
        <v>874</v>
      </c>
      <c r="D869" t="str">
        <f>"120909"</f>
        <v>120909</v>
      </c>
      <c r="E869">
        <v>5685</v>
      </c>
      <c r="F869">
        <v>3573</v>
      </c>
      <c r="G869" s="1">
        <v>0.62849999999999995</v>
      </c>
      <c r="H869">
        <v>7</v>
      </c>
      <c r="I869">
        <v>5664</v>
      </c>
    </row>
    <row r="870" spans="1:9" x14ac:dyDescent="0.35">
      <c r="A870" t="s">
        <v>9</v>
      </c>
      <c r="B870" t="s">
        <v>793</v>
      </c>
      <c r="C870" t="s">
        <v>875</v>
      </c>
      <c r="D870" t="str">
        <f>"121001"</f>
        <v>121001</v>
      </c>
      <c r="E870">
        <v>4508</v>
      </c>
      <c r="F870">
        <v>2815</v>
      </c>
      <c r="G870" s="1">
        <v>0.62439999999999996</v>
      </c>
      <c r="H870">
        <v>4</v>
      </c>
      <c r="I870">
        <v>4455</v>
      </c>
    </row>
    <row r="871" spans="1:9" x14ac:dyDescent="0.35">
      <c r="A871" t="s">
        <v>9</v>
      </c>
      <c r="B871" t="s">
        <v>793</v>
      </c>
      <c r="C871" t="s">
        <v>876</v>
      </c>
      <c r="D871" t="str">
        <f>"121002"</f>
        <v>121002</v>
      </c>
      <c r="E871">
        <v>21521</v>
      </c>
      <c r="F871">
        <v>13649</v>
      </c>
      <c r="G871" s="1">
        <v>0.63419999999999999</v>
      </c>
      <c r="H871">
        <v>27</v>
      </c>
      <c r="I871">
        <v>21451</v>
      </c>
    </row>
    <row r="872" spans="1:9" x14ac:dyDescent="0.35">
      <c r="A872" t="s">
        <v>9</v>
      </c>
      <c r="B872" t="s">
        <v>793</v>
      </c>
      <c r="C872" t="s">
        <v>877</v>
      </c>
      <c r="D872" t="str">
        <f>"121003"</f>
        <v>121003</v>
      </c>
      <c r="E872">
        <v>6891</v>
      </c>
      <c r="F872">
        <v>4197</v>
      </c>
      <c r="G872" s="1">
        <v>0.60909999999999997</v>
      </c>
      <c r="H872">
        <v>9</v>
      </c>
      <c r="I872">
        <v>6822</v>
      </c>
    </row>
    <row r="873" spans="1:9" x14ac:dyDescent="0.35">
      <c r="A873" t="s">
        <v>9</v>
      </c>
      <c r="B873" t="s">
        <v>793</v>
      </c>
      <c r="C873" t="s">
        <v>878</v>
      </c>
      <c r="D873" t="str">
        <f>"121004"</f>
        <v>121004</v>
      </c>
      <c r="E873">
        <v>18448</v>
      </c>
      <c r="F873">
        <v>12308</v>
      </c>
      <c r="G873" s="1">
        <v>0.66720000000000002</v>
      </c>
      <c r="H873">
        <v>17</v>
      </c>
      <c r="I873">
        <v>18334</v>
      </c>
    </row>
    <row r="874" spans="1:9" x14ac:dyDescent="0.35">
      <c r="A874" t="s">
        <v>9</v>
      </c>
      <c r="B874" t="s">
        <v>793</v>
      </c>
      <c r="C874" t="s">
        <v>879</v>
      </c>
      <c r="D874" t="str">
        <f>"121005"</f>
        <v>121005</v>
      </c>
      <c r="E874">
        <v>7700</v>
      </c>
      <c r="F874">
        <v>5104</v>
      </c>
      <c r="G874" s="1">
        <v>0.66290000000000004</v>
      </c>
      <c r="H874">
        <v>8</v>
      </c>
      <c r="I874">
        <v>7655</v>
      </c>
    </row>
    <row r="875" spans="1:9" x14ac:dyDescent="0.35">
      <c r="A875" t="s">
        <v>9</v>
      </c>
      <c r="B875" t="s">
        <v>793</v>
      </c>
      <c r="C875" t="s">
        <v>880</v>
      </c>
      <c r="D875" t="str">
        <f>"121006"</f>
        <v>121006</v>
      </c>
      <c r="E875">
        <v>10893</v>
      </c>
      <c r="F875">
        <v>7122</v>
      </c>
      <c r="G875" s="1">
        <v>0.65380000000000005</v>
      </c>
      <c r="H875">
        <v>14</v>
      </c>
      <c r="I875">
        <v>10849</v>
      </c>
    </row>
    <row r="876" spans="1:9" x14ac:dyDescent="0.35">
      <c r="A876" t="s">
        <v>9</v>
      </c>
      <c r="B876" t="s">
        <v>793</v>
      </c>
      <c r="C876" t="s">
        <v>881</v>
      </c>
      <c r="D876" t="str">
        <f>"121007"</f>
        <v>121007</v>
      </c>
      <c r="E876">
        <v>14475</v>
      </c>
      <c r="F876">
        <v>8937</v>
      </c>
      <c r="G876" s="1">
        <v>0.61739999999999995</v>
      </c>
      <c r="H876">
        <v>17</v>
      </c>
      <c r="I876">
        <v>12786</v>
      </c>
    </row>
    <row r="877" spans="1:9" x14ac:dyDescent="0.35">
      <c r="A877" t="s">
        <v>9</v>
      </c>
      <c r="B877" t="s">
        <v>793</v>
      </c>
      <c r="C877" t="s">
        <v>882</v>
      </c>
      <c r="D877" t="str">
        <f>"121008"</f>
        <v>121008</v>
      </c>
      <c r="E877">
        <v>4486</v>
      </c>
      <c r="F877">
        <v>2499</v>
      </c>
      <c r="G877" s="1">
        <v>0.55710000000000004</v>
      </c>
      <c r="H877">
        <v>7</v>
      </c>
      <c r="I877">
        <v>4351</v>
      </c>
    </row>
    <row r="878" spans="1:9" x14ac:dyDescent="0.35">
      <c r="A878" t="s">
        <v>9</v>
      </c>
      <c r="B878" t="s">
        <v>793</v>
      </c>
      <c r="C878" t="s">
        <v>883</v>
      </c>
      <c r="D878" t="str">
        <f>"121009"</f>
        <v>121009</v>
      </c>
      <c r="E878">
        <v>12120</v>
      </c>
      <c r="F878">
        <v>7281</v>
      </c>
      <c r="G878" s="1">
        <v>0.60070000000000001</v>
      </c>
      <c r="H878">
        <v>13</v>
      </c>
      <c r="I878">
        <v>12048</v>
      </c>
    </row>
    <row r="879" spans="1:9" x14ac:dyDescent="0.35">
      <c r="A879" t="s">
        <v>9</v>
      </c>
      <c r="B879" t="s">
        <v>793</v>
      </c>
      <c r="C879" t="s">
        <v>884</v>
      </c>
      <c r="D879" t="str">
        <f>"121010"</f>
        <v>121010</v>
      </c>
      <c r="E879">
        <v>8174</v>
      </c>
      <c r="F879">
        <v>5326</v>
      </c>
      <c r="G879" s="1">
        <v>0.65159999999999996</v>
      </c>
      <c r="H879">
        <v>12</v>
      </c>
      <c r="I879">
        <v>8146</v>
      </c>
    </row>
    <row r="880" spans="1:9" x14ac:dyDescent="0.35">
      <c r="A880" t="s">
        <v>9</v>
      </c>
      <c r="B880" t="s">
        <v>793</v>
      </c>
      <c r="C880" t="s">
        <v>885</v>
      </c>
      <c r="D880" t="str">
        <f>"121011"</f>
        <v>121011</v>
      </c>
      <c r="E880">
        <v>9179</v>
      </c>
      <c r="F880">
        <v>5430</v>
      </c>
      <c r="G880" s="1">
        <v>0.59160000000000001</v>
      </c>
      <c r="H880">
        <v>13</v>
      </c>
      <c r="I880">
        <v>8678</v>
      </c>
    </row>
    <row r="881" spans="1:9" x14ac:dyDescent="0.35">
      <c r="A881" t="s">
        <v>9</v>
      </c>
      <c r="B881" t="s">
        <v>793</v>
      </c>
      <c r="C881" t="s">
        <v>886</v>
      </c>
      <c r="D881" t="str">
        <f>"121012"</f>
        <v>121012</v>
      </c>
      <c r="E881">
        <v>6381</v>
      </c>
      <c r="F881">
        <v>3940</v>
      </c>
      <c r="G881" s="1">
        <v>0.61750000000000005</v>
      </c>
      <c r="H881">
        <v>8</v>
      </c>
      <c r="I881">
        <v>6361</v>
      </c>
    </row>
    <row r="882" spans="1:9" x14ac:dyDescent="0.35">
      <c r="A882" t="s">
        <v>9</v>
      </c>
      <c r="B882" t="s">
        <v>793</v>
      </c>
      <c r="C882" t="s">
        <v>887</v>
      </c>
      <c r="D882" t="str">
        <f>"121013"</f>
        <v>121013</v>
      </c>
      <c r="E882">
        <v>8006</v>
      </c>
      <c r="F882">
        <v>4433</v>
      </c>
      <c r="G882" s="1">
        <v>0.55369999999999997</v>
      </c>
      <c r="H882">
        <v>9</v>
      </c>
      <c r="I882">
        <v>7813</v>
      </c>
    </row>
    <row r="883" spans="1:9" x14ac:dyDescent="0.35">
      <c r="A883" t="s">
        <v>9</v>
      </c>
      <c r="B883" t="s">
        <v>793</v>
      </c>
      <c r="C883" t="s">
        <v>888</v>
      </c>
      <c r="D883" t="str">
        <f>"121014"</f>
        <v>121014</v>
      </c>
      <c r="E883">
        <v>9774</v>
      </c>
      <c r="F883">
        <v>6069</v>
      </c>
      <c r="G883" s="1">
        <v>0.62090000000000001</v>
      </c>
      <c r="H883">
        <v>13</v>
      </c>
      <c r="I883">
        <v>9757</v>
      </c>
    </row>
    <row r="884" spans="1:9" x14ac:dyDescent="0.35">
      <c r="A884" t="s">
        <v>9</v>
      </c>
      <c r="B884" t="s">
        <v>793</v>
      </c>
      <c r="C884" t="s">
        <v>889</v>
      </c>
      <c r="D884" t="str">
        <f>"121015"</f>
        <v>121015</v>
      </c>
      <c r="E884">
        <v>2820</v>
      </c>
      <c r="F884">
        <v>1671</v>
      </c>
      <c r="G884" s="1">
        <v>0.59260000000000002</v>
      </c>
      <c r="H884">
        <v>2</v>
      </c>
      <c r="I884">
        <v>2800</v>
      </c>
    </row>
    <row r="885" spans="1:9" x14ac:dyDescent="0.35">
      <c r="A885" t="s">
        <v>9</v>
      </c>
      <c r="B885" t="s">
        <v>793</v>
      </c>
      <c r="C885" t="s">
        <v>890</v>
      </c>
      <c r="D885" t="str">
        <f>"121016"</f>
        <v>121016</v>
      </c>
      <c r="E885">
        <v>17759</v>
      </c>
      <c r="F885">
        <v>11278</v>
      </c>
      <c r="G885" s="1">
        <v>0.6351</v>
      </c>
      <c r="H885">
        <v>15</v>
      </c>
      <c r="I885">
        <v>17552</v>
      </c>
    </row>
    <row r="886" spans="1:9" x14ac:dyDescent="0.35">
      <c r="A886" t="s">
        <v>9</v>
      </c>
      <c r="B886" t="s">
        <v>793</v>
      </c>
      <c r="C886" t="s">
        <v>891</v>
      </c>
      <c r="D886" t="str">
        <f>"121101"</f>
        <v>121101</v>
      </c>
      <c r="E886">
        <v>24712</v>
      </c>
      <c r="F886">
        <v>13654</v>
      </c>
      <c r="G886" s="1">
        <v>0.55249999999999999</v>
      </c>
      <c r="H886">
        <v>21</v>
      </c>
      <c r="I886">
        <v>24486</v>
      </c>
    </row>
    <row r="887" spans="1:9" x14ac:dyDescent="0.35">
      <c r="A887" t="s">
        <v>9</v>
      </c>
      <c r="B887" t="s">
        <v>793</v>
      </c>
      <c r="C887" t="s">
        <v>892</v>
      </c>
      <c r="D887" t="str">
        <f>"121102"</f>
        <v>121102</v>
      </c>
      <c r="E887">
        <v>6888</v>
      </c>
      <c r="F887">
        <v>4260</v>
      </c>
      <c r="G887" s="1">
        <v>0.61850000000000005</v>
      </c>
      <c r="H887">
        <v>6</v>
      </c>
      <c r="I887">
        <v>5903</v>
      </c>
    </row>
    <row r="888" spans="1:9" x14ac:dyDescent="0.35">
      <c r="A888" t="s">
        <v>9</v>
      </c>
      <c r="B888" t="s">
        <v>793</v>
      </c>
      <c r="C888" t="s">
        <v>893</v>
      </c>
      <c r="D888" t="str">
        <f>"121103"</f>
        <v>121103</v>
      </c>
      <c r="E888">
        <v>17003</v>
      </c>
      <c r="F888">
        <v>7144</v>
      </c>
      <c r="G888" s="1">
        <v>0.42020000000000002</v>
      </c>
      <c r="H888">
        <v>23</v>
      </c>
      <c r="I888">
        <v>16933</v>
      </c>
    </row>
    <row r="889" spans="1:9" x14ac:dyDescent="0.35">
      <c r="A889" t="s">
        <v>9</v>
      </c>
      <c r="B889" t="s">
        <v>793</v>
      </c>
      <c r="C889" t="s">
        <v>894</v>
      </c>
      <c r="D889" t="str">
        <f>"121104"</f>
        <v>121104</v>
      </c>
      <c r="E889">
        <v>5947</v>
      </c>
      <c r="F889">
        <v>3025</v>
      </c>
      <c r="G889" s="1">
        <v>0.50870000000000004</v>
      </c>
      <c r="H889">
        <v>7</v>
      </c>
      <c r="I889">
        <v>5832</v>
      </c>
    </row>
    <row r="890" spans="1:9" x14ac:dyDescent="0.35">
      <c r="A890" t="s">
        <v>9</v>
      </c>
      <c r="B890" t="s">
        <v>793</v>
      </c>
      <c r="C890" t="s">
        <v>895</v>
      </c>
      <c r="D890" t="str">
        <f>"121105"</f>
        <v>121105</v>
      </c>
      <c r="E890">
        <v>13925</v>
      </c>
      <c r="F890">
        <v>7697</v>
      </c>
      <c r="G890" s="1">
        <v>0.55269999999999997</v>
      </c>
      <c r="H890">
        <v>11</v>
      </c>
      <c r="I890">
        <v>13834</v>
      </c>
    </row>
    <row r="891" spans="1:9" x14ac:dyDescent="0.35">
      <c r="A891" t="s">
        <v>9</v>
      </c>
      <c r="B891" t="s">
        <v>793</v>
      </c>
      <c r="C891" t="s">
        <v>896</v>
      </c>
      <c r="D891" t="str">
        <f>"121106"</f>
        <v>121106</v>
      </c>
      <c r="E891">
        <v>5356</v>
      </c>
      <c r="F891">
        <v>3134</v>
      </c>
      <c r="G891" s="1">
        <v>0.58509999999999995</v>
      </c>
      <c r="H891">
        <v>6</v>
      </c>
      <c r="I891">
        <v>5175</v>
      </c>
    </row>
    <row r="892" spans="1:9" x14ac:dyDescent="0.35">
      <c r="A892" t="s">
        <v>9</v>
      </c>
      <c r="B892" t="s">
        <v>793</v>
      </c>
      <c r="C892" t="s">
        <v>897</v>
      </c>
      <c r="D892" t="str">
        <f>"121107"</f>
        <v>121107</v>
      </c>
      <c r="E892">
        <v>4432</v>
      </c>
      <c r="F892">
        <v>2550</v>
      </c>
      <c r="G892" s="1">
        <v>0.57540000000000002</v>
      </c>
      <c r="H892">
        <v>5</v>
      </c>
      <c r="I892">
        <v>4409</v>
      </c>
    </row>
    <row r="893" spans="1:9" x14ac:dyDescent="0.35">
      <c r="A893" t="s">
        <v>9</v>
      </c>
      <c r="B893" t="s">
        <v>793</v>
      </c>
      <c r="C893" t="s">
        <v>898</v>
      </c>
      <c r="D893" t="str">
        <f>"121108"</f>
        <v>121108</v>
      </c>
      <c r="E893">
        <v>7152</v>
      </c>
      <c r="F893">
        <v>3551</v>
      </c>
      <c r="G893" s="1">
        <v>0.4965</v>
      </c>
      <c r="H893">
        <v>9</v>
      </c>
      <c r="I893">
        <v>7083</v>
      </c>
    </row>
    <row r="894" spans="1:9" x14ac:dyDescent="0.35">
      <c r="A894" t="s">
        <v>9</v>
      </c>
      <c r="B894" t="s">
        <v>793</v>
      </c>
      <c r="C894" t="s">
        <v>899</v>
      </c>
      <c r="D894" t="str">
        <f>"121109"</f>
        <v>121109</v>
      </c>
      <c r="E894">
        <v>18096</v>
      </c>
      <c r="F894">
        <v>8987</v>
      </c>
      <c r="G894" s="1">
        <v>0.49659999999999999</v>
      </c>
      <c r="H894">
        <v>21</v>
      </c>
      <c r="I894">
        <v>18034</v>
      </c>
    </row>
    <row r="895" spans="1:9" x14ac:dyDescent="0.35">
      <c r="A895" t="s">
        <v>9</v>
      </c>
      <c r="B895" t="s">
        <v>793</v>
      </c>
      <c r="C895" t="s">
        <v>900</v>
      </c>
      <c r="D895" t="str">
        <f>"121110"</f>
        <v>121110</v>
      </c>
      <c r="E895">
        <v>6350</v>
      </c>
      <c r="F895">
        <v>3764</v>
      </c>
      <c r="G895" s="1">
        <v>0.59279999999999999</v>
      </c>
      <c r="H895">
        <v>4</v>
      </c>
      <c r="I895">
        <v>6329</v>
      </c>
    </row>
    <row r="896" spans="1:9" x14ac:dyDescent="0.35">
      <c r="A896" t="s">
        <v>9</v>
      </c>
      <c r="B896" t="s">
        <v>793</v>
      </c>
      <c r="C896" t="s">
        <v>901</v>
      </c>
      <c r="D896" t="str">
        <f>"121111"</f>
        <v>121111</v>
      </c>
      <c r="E896">
        <v>10843</v>
      </c>
      <c r="F896">
        <v>5786</v>
      </c>
      <c r="G896" s="1">
        <v>0.53359999999999996</v>
      </c>
      <c r="H896">
        <v>10</v>
      </c>
      <c r="I896">
        <v>10782</v>
      </c>
    </row>
    <row r="897" spans="1:9" x14ac:dyDescent="0.35">
      <c r="A897" t="s">
        <v>9</v>
      </c>
      <c r="B897" t="s">
        <v>793</v>
      </c>
      <c r="C897" t="s">
        <v>902</v>
      </c>
      <c r="D897" t="str">
        <f>"121112"</f>
        <v>121112</v>
      </c>
      <c r="E897">
        <v>13383</v>
      </c>
      <c r="F897">
        <v>7813</v>
      </c>
      <c r="G897" s="1">
        <v>0.58379999999999999</v>
      </c>
      <c r="H897">
        <v>11</v>
      </c>
      <c r="I897">
        <v>12841</v>
      </c>
    </row>
    <row r="898" spans="1:9" x14ac:dyDescent="0.35">
      <c r="A898" t="s">
        <v>9</v>
      </c>
      <c r="B898" t="s">
        <v>793</v>
      </c>
      <c r="C898" t="s">
        <v>903</v>
      </c>
      <c r="D898" t="str">
        <f>"121113"</f>
        <v>121113</v>
      </c>
      <c r="E898">
        <v>3431</v>
      </c>
      <c r="F898">
        <v>1841</v>
      </c>
      <c r="G898" s="1">
        <v>0.53659999999999997</v>
      </c>
      <c r="H898">
        <v>5</v>
      </c>
      <c r="I898">
        <v>3413</v>
      </c>
    </row>
    <row r="899" spans="1:9" x14ac:dyDescent="0.35">
      <c r="A899" t="s">
        <v>9</v>
      </c>
      <c r="B899" t="s">
        <v>793</v>
      </c>
      <c r="C899" t="s">
        <v>904</v>
      </c>
      <c r="D899" t="str">
        <f>"121114"</f>
        <v>121114</v>
      </c>
      <c r="E899">
        <v>8292</v>
      </c>
      <c r="F899">
        <v>3742</v>
      </c>
      <c r="G899" s="1">
        <v>0.45129999999999998</v>
      </c>
      <c r="H899">
        <v>9</v>
      </c>
      <c r="I899">
        <v>8189</v>
      </c>
    </row>
    <row r="900" spans="1:9" x14ac:dyDescent="0.35">
      <c r="A900" t="s">
        <v>9</v>
      </c>
      <c r="B900" t="s">
        <v>793</v>
      </c>
      <c r="C900" t="s">
        <v>905</v>
      </c>
      <c r="D900" t="str">
        <f>"121201"</f>
        <v>121201</v>
      </c>
      <c r="E900">
        <v>7569</v>
      </c>
      <c r="F900">
        <v>4077</v>
      </c>
      <c r="G900" s="1">
        <v>0.53859999999999997</v>
      </c>
      <c r="H900">
        <v>9</v>
      </c>
      <c r="I900">
        <v>7507</v>
      </c>
    </row>
    <row r="901" spans="1:9" x14ac:dyDescent="0.35">
      <c r="A901" t="s">
        <v>9</v>
      </c>
      <c r="B901" t="s">
        <v>793</v>
      </c>
      <c r="C901" t="s">
        <v>814</v>
      </c>
      <c r="D901" t="str">
        <f>"121203"</f>
        <v>121203</v>
      </c>
      <c r="E901">
        <v>5969</v>
      </c>
      <c r="F901">
        <v>3273</v>
      </c>
      <c r="G901" s="1">
        <v>0.54830000000000001</v>
      </c>
      <c r="H901">
        <v>5</v>
      </c>
      <c r="I901">
        <v>5949</v>
      </c>
    </row>
    <row r="902" spans="1:9" x14ac:dyDescent="0.35">
      <c r="A902" t="s">
        <v>9</v>
      </c>
      <c r="B902" t="s">
        <v>793</v>
      </c>
      <c r="C902" t="s">
        <v>906</v>
      </c>
      <c r="D902" t="str">
        <f>"121204"</f>
        <v>121204</v>
      </c>
      <c r="E902">
        <v>11439</v>
      </c>
      <c r="F902">
        <v>6319</v>
      </c>
      <c r="G902" s="1">
        <v>0.5524</v>
      </c>
      <c r="H902">
        <v>14</v>
      </c>
      <c r="I902">
        <v>11361</v>
      </c>
    </row>
    <row r="903" spans="1:9" x14ac:dyDescent="0.35">
      <c r="A903" t="s">
        <v>9</v>
      </c>
      <c r="B903" t="s">
        <v>793</v>
      </c>
      <c r="C903" t="s">
        <v>907</v>
      </c>
      <c r="D903" t="str">
        <f>"121205"</f>
        <v>121205</v>
      </c>
      <c r="E903">
        <v>35400</v>
      </c>
      <c r="F903">
        <v>20891</v>
      </c>
      <c r="G903" s="1">
        <v>0.59009999999999996</v>
      </c>
      <c r="H903">
        <v>31</v>
      </c>
      <c r="I903">
        <v>35225</v>
      </c>
    </row>
    <row r="904" spans="1:9" x14ac:dyDescent="0.35">
      <c r="A904" t="s">
        <v>9</v>
      </c>
      <c r="B904" t="s">
        <v>793</v>
      </c>
      <c r="C904" t="s">
        <v>908</v>
      </c>
      <c r="D904" t="str">
        <f>"121206"</f>
        <v>121206</v>
      </c>
      <c r="E904">
        <v>5534</v>
      </c>
      <c r="F904">
        <v>3168</v>
      </c>
      <c r="G904" s="1">
        <v>0.57250000000000001</v>
      </c>
      <c r="H904">
        <v>11</v>
      </c>
      <c r="I904">
        <v>5525</v>
      </c>
    </row>
    <row r="905" spans="1:9" x14ac:dyDescent="0.35">
      <c r="A905" t="s">
        <v>9</v>
      </c>
      <c r="B905" t="s">
        <v>793</v>
      </c>
      <c r="C905" t="s">
        <v>909</v>
      </c>
      <c r="D905" t="str">
        <f>"121207"</f>
        <v>121207</v>
      </c>
      <c r="E905">
        <v>17299</v>
      </c>
      <c r="F905">
        <v>9926</v>
      </c>
      <c r="G905" s="1">
        <v>0.57379999999999998</v>
      </c>
      <c r="H905">
        <v>26</v>
      </c>
      <c r="I905">
        <v>17249</v>
      </c>
    </row>
    <row r="906" spans="1:9" x14ac:dyDescent="0.35">
      <c r="A906" t="s">
        <v>9</v>
      </c>
      <c r="B906" t="s">
        <v>793</v>
      </c>
      <c r="C906" t="s">
        <v>910</v>
      </c>
      <c r="D906" t="str">
        <f>"121301"</f>
        <v>121301</v>
      </c>
      <c r="E906">
        <v>27420</v>
      </c>
      <c r="F906">
        <v>16514</v>
      </c>
      <c r="G906" s="1">
        <v>0.60229999999999995</v>
      </c>
      <c r="H906">
        <v>23</v>
      </c>
      <c r="I906">
        <v>27287</v>
      </c>
    </row>
    <row r="907" spans="1:9" x14ac:dyDescent="0.35">
      <c r="A907" t="s">
        <v>9</v>
      </c>
      <c r="B907" t="s">
        <v>793</v>
      </c>
      <c r="C907" t="s">
        <v>911</v>
      </c>
      <c r="D907" t="str">
        <f>"121302"</f>
        <v>121302</v>
      </c>
      <c r="E907">
        <v>15747</v>
      </c>
      <c r="F907">
        <v>9698</v>
      </c>
      <c r="G907" s="1">
        <v>0.6159</v>
      </c>
      <c r="H907">
        <v>13</v>
      </c>
      <c r="I907">
        <v>15725</v>
      </c>
    </row>
    <row r="908" spans="1:9" x14ac:dyDescent="0.35">
      <c r="A908" t="s">
        <v>9</v>
      </c>
      <c r="B908" t="s">
        <v>793</v>
      </c>
      <c r="C908" t="s">
        <v>912</v>
      </c>
      <c r="D908" t="str">
        <f>"121303"</f>
        <v>121303</v>
      </c>
      <c r="E908">
        <v>9507</v>
      </c>
      <c r="F908">
        <v>5564</v>
      </c>
      <c r="G908" s="1">
        <v>0.58530000000000004</v>
      </c>
      <c r="H908">
        <v>8</v>
      </c>
      <c r="I908">
        <v>9491</v>
      </c>
    </row>
    <row r="909" spans="1:9" x14ac:dyDescent="0.35">
      <c r="A909" t="s">
        <v>9</v>
      </c>
      <c r="B909" t="s">
        <v>793</v>
      </c>
      <c r="C909" t="s">
        <v>913</v>
      </c>
      <c r="D909" t="str">
        <f>"121304"</f>
        <v>121304</v>
      </c>
      <c r="E909">
        <v>25290</v>
      </c>
      <c r="F909">
        <v>15053</v>
      </c>
      <c r="G909" s="1">
        <v>0.59519999999999995</v>
      </c>
      <c r="H909">
        <v>20</v>
      </c>
      <c r="I909">
        <v>25121</v>
      </c>
    </row>
    <row r="910" spans="1:9" x14ac:dyDescent="0.35">
      <c r="A910" t="s">
        <v>9</v>
      </c>
      <c r="B910" t="s">
        <v>793</v>
      </c>
      <c r="C910" t="s">
        <v>197</v>
      </c>
      <c r="D910" t="str">
        <f>"121305"</f>
        <v>121305</v>
      </c>
      <c r="E910">
        <v>6317</v>
      </c>
      <c r="F910">
        <v>3656</v>
      </c>
      <c r="G910" s="1">
        <v>0.57879999999999998</v>
      </c>
      <c r="H910">
        <v>4</v>
      </c>
      <c r="I910">
        <v>6299</v>
      </c>
    </row>
    <row r="911" spans="1:9" x14ac:dyDescent="0.35">
      <c r="A911" t="s">
        <v>9</v>
      </c>
      <c r="B911" t="s">
        <v>793</v>
      </c>
      <c r="C911" t="s">
        <v>914</v>
      </c>
      <c r="D911" t="str">
        <f>"121306"</f>
        <v>121306</v>
      </c>
      <c r="E911">
        <v>14572</v>
      </c>
      <c r="F911">
        <v>9511</v>
      </c>
      <c r="G911" s="1">
        <v>0.65269999999999995</v>
      </c>
      <c r="H911">
        <v>15</v>
      </c>
      <c r="I911">
        <v>14539</v>
      </c>
    </row>
    <row r="912" spans="1:9" x14ac:dyDescent="0.35">
      <c r="A912" t="s">
        <v>9</v>
      </c>
      <c r="B912" t="s">
        <v>793</v>
      </c>
      <c r="C912" t="s">
        <v>915</v>
      </c>
      <c r="D912" t="str">
        <f>"121307"</f>
        <v>121307</v>
      </c>
      <c r="E912">
        <v>3318</v>
      </c>
      <c r="F912">
        <v>2156</v>
      </c>
      <c r="G912" s="1">
        <v>0.64980000000000004</v>
      </c>
      <c r="H912">
        <v>3</v>
      </c>
      <c r="I912">
        <v>3308</v>
      </c>
    </row>
    <row r="913" spans="1:9" x14ac:dyDescent="0.35">
      <c r="A913" t="s">
        <v>9</v>
      </c>
      <c r="B913" t="s">
        <v>793</v>
      </c>
      <c r="C913" t="s">
        <v>916</v>
      </c>
      <c r="D913" t="str">
        <f>"121308"</f>
        <v>121308</v>
      </c>
      <c r="E913">
        <v>5110</v>
      </c>
      <c r="F913">
        <v>3097</v>
      </c>
      <c r="G913" s="1">
        <v>0.60609999999999997</v>
      </c>
      <c r="H913">
        <v>4</v>
      </c>
      <c r="I913">
        <v>5091</v>
      </c>
    </row>
    <row r="914" spans="1:9" x14ac:dyDescent="0.35">
      <c r="A914" t="s">
        <v>9</v>
      </c>
      <c r="B914" t="s">
        <v>793</v>
      </c>
      <c r="C914" t="s">
        <v>917</v>
      </c>
      <c r="D914" t="str">
        <f>"121309"</f>
        <v>121309</v>
      </c>
      <c r="E914">
        <v>7072</v>
      </c>
      <c r="F914">
        <v>4241</v>
      </c>
      <c r="G914" s="1">
        <v>0.59970000000000001</v>
      </c>
      <c r="H914">
        <v>11</v>
      </c>
      <c r="I914">
        <v>7047</v>
      </c>
    </row>
    <row r="915" spans="1:9" x14ac:dyDescent="0.35">
      <c r="A915" t="s">
        <v>9</v>
      </c>
      <c r="B915" t="s">
        <v>793</v>
      </c>
      <c r="C915" t="s">
        <v>918</v>
      </c>
      <c r="D915" t="str">
        <f>"121401"</f>
        <v>121401</v>
      </c>
      <c r="E915">
        <v>6865</v>
      </c>
      <c r="F915">
        <v>3705</v>
      </c>
      <c r="G915" s="1">
        <v>0.53969999999999996</v>
      </c>
      <c r="H915">
        <v>18</v>
      </c>
      <c r="I915">
        <v>6817</v>
      </c>
    </row>
    <row r="916" spans="1:9" x14ac:dyDescent="0.35">
      <c r="A916" t="s">
        <v>9</v>
      </c>
      <c r="B916" t="s">
        <v>793</v>
      </c>
      <c r="C916" t="s">
        <v>919</v>
      </c>
      <c r="D916" t="str">
        <f>"121402"</f>
        <v>121402</v>
      </c>
      <c r="E916">
        <v>4305</v>
      </c>
      <c r="F916">
        <v>2340</v>
      </c>
      <c r="G916" s="1">
        <v>0.54359999999999997</v>
      </c>
      <c r="H916">
        <v>11</v>
      </c>
      <c r="I916">
        <v>4267</v>
      </c>
    </row>
    <row r="917" spans="1:9" x14ac:dyDescent="0.35">
      <c r="A917" t="s">
        <v>9</v>
      </c>
      <c r="B917" t="s">
        <v>793</v>
      </c>
      <c r="C917" t="s">
        <v>920</v>
      </c>
      <c r="D917" t="str">
        <f>"121403"</f>
        <v>121403</v>
      </c>
      <c r="E917">
        <v>4475</v>
      </c>
      <c r="F917">
        <v>2536</v>
      </c>
      <c r="G917" s="1">
        <v>0.56669999999999998</v>
      </c>
      <c r="H917">
        <v>12</v>
      </c>
      <c r="I917">
        <v>4454</v>
      </c>
    </row>
    <row r="918" spans="1:9" x14ac:dyDescent="0.35">
      <c r="A918" t="s">
        <v>9</v>
      </c>
      <c r="B918" t="s">
        <v>793</v>
      </c>
      <c r="C918" t="s">
        <v>921</v>
      </c>
      <c r="D918" t="str">
        <f>"121404"</f>
        <v>121404</v>
      </c>
      <c r="E918">
        <v>2764</v>
      </c>
      <c r="F918">
        <v>1503</v>
      </c>
      <c r="G918" s="1">
        <v>0.54379999999999995</v>
      </c>
      <c r="H918">
        <v>7</v>
      </c>
      <c r="I918">
        <v>2754</v>
      </c>
    </row>
    <row r="919" spans="1:9" x14ac:dyDescent="0.35">
      <c r="A919" t="s">
        <v>9</v>
      </c>
      <c r="B919" t="s">
        <v>793</v>
      </c>
      <c r="C919" t="s">
        <v>922</v>
      </c>
      <c r="D919" t="str">
        <f>"121405"</f>
        <v>121405</v>
      </c>
      <c r="E919">
        <v>12517</v>
      </c>
      <c r="F919">
        <v>6897</v>
      </c>
      <c r="G919" s="1">
        <v>0.55100000000000005</v>
      </c>
      <c r="H919">
        <v>24</v>
      </c>
      <c r="I919">
        <v>12443</v>
      </c>
    </row>
    <row r="920" spans="1:9" x14ac:dyDescent="0.35">
      <c r="A920" t="s">
        <v>9</v>
      </c>
      <c r="B920" t="s">
        <v>793</v>
      </c>
      <c r="C920" t="s">
        <v>923</v>
      </c>
      <c r="D920" t="str">
        <f>"121406"</f>
        <v>121406</v>
      </c>
      <c r="E920">
        <v>2615</v>
      </c>
      <c r="F920">
        <v>1398</v>
      </c>
      <c r="G920" s="1">
        <v>0.53459999999999996</v>
      </c>
      <c r="H920">
        <v>8</v>
      </c>
      <c r="I920">
        <v>2601</v>
      </c>
    </row>
    <row r="921" spans="1:9" x14ac:dyDescent="0.35">
      <c r="A921" t="s">
        <v>9</v>
      </c>
      <c r="B921" t="s">
        <v>793</v>
      </c>
      <c r="C921" t="s">
        <v>924</v>
      </c>
      <c r="D921" t="str">
        <f>"121501"</f>
        <v>121501</v>
      </c>
      <c r="E921">
        <v>3944</v>
      </c>
      <c r="F921">
        <v>2285</v>
      </c>
      <c r="G921" s="1">
        <v>0.57940000000000003</v>
      </c>
      <c r="H921">
        <v>4</v>
      </c>
      <c r="I921">
        <v>3919</v>
      </c>
    </row>
    <row r="922" spans="1:9" x14ac:dyDescent="0.35">
      <c r="A922" t="s">
        <v>9</v>
      </c>
      <c r="B922" t="s">
        <v>793</v>
      </c>
      <c r="C922" t="s">
        <v>925</v>
      </c>
      <c r="D922" t="str">
        <f>"121502"</f>
        <v>121502</v>
      </c>
      <c r="E922">
        <v>6979</v>
      </c>
      <c r="F922">
        <v>4179</v>
      </c>
      <c r="G922" s="1">
        <v>0.5988</v>
      </c>
      <c r="H922">
        <v>6</v>
      </c>
      <c r="I922">
        <v>6921</v>
      </c>
    </row>
    <row r="923" spans="1:9" x14ac:dyDescent="0.35">
      <c r="A923" t="s">
        <v>9</v>
      </c>
      <c r="B923" t="s">
        <v>793</v>
      </c>
      <c r="C923" t="s">
        <v>926</v>
      </c>
      <c r="D923" t="str">
        <f>"121503"</f>
        <v>121503</v>
      </c>
      <c r="E923">
        <v>6579</v>
      </c>
      <c r="F923">
        <v>3559</v>
      </c>
      <c r="G923" s="1">
        <v>0.54100000000000004</v>
      </c>
      <c r="H923">
        <v>6</v>
      </c>
      <c r="I923">
        <v>6558</v>
      </c>
    </row>
    <row r="924" spans="1:9" x14ac:dyDescent="0.35">
      <c r="A924" t="s">
        <v>9</v>
      </c>
      <c r="B924" t="s">
        <v>793</v>
      </c>
      <c r="C924" t="s">
        <v>927</v>
      </c>
      <c r="D924" t="str">
        <f>"121504"</f>
        <v>121504</v>
      </c>
      <c r="E924">
        <v>5190</v>
      </c>
      <c r="F924">
        <v>2680</v>
      </c>
      <c r="G924" s="1">
        <v>0.51639999999999997</v>
      </c>
      <c r="H924">
        <v>4</v>
      </c>
      <c r="I924">
        <v>5145</v>
      </c>
    </row>
    <row r="925" spans="1:9" x14ac:dyDescent="0.35">
      <c r="A925" t="s">
        <v>9</v>
      </c>
      <c r="B925" t="s">
        <v>793</v>
      </c>
      <c r="C925" t="s">
        <v>928</v>
      </c>
      <c r="D925" t="str">
        <f>"121505"</f>
        <v>121505</v>
      </c>
      <c r="E925">
        <v>8342</v>
      </c>
      <c r="F925">
        <v>4742</v>
      </c>
      <c r="G925" s="1">
        <v>0.56840000000000002</v>
      </c>
      <c r="H925">
        <v>6</v>
      </c>
      <c r="I925">
        <v>8300</v>
      </c>
    </row>
    <row r="926" spans="1:9" x14ac:dyDescent="0.35">
      <c r="A926" t="s">
        <v>9</v>
      </c>
      <c r="B926" t="s">
        <v>793</v>
      </c>
      <c r="C926" t="s">
        <v>929</v>
      </c>
      <c r="D926" t="str">
        <f>"121506"</f>
        <v>121506</v>
      </c>
      <c r="E926">
        <v>11901</v>
      </c>
      <c r="F926">
        <v>7141</v>
      </c>
      <c r="G926" s="1">
        <v>0.6</v>
      </c>
      <c r="H926">
        <v>9</v>
      </c>
      <c r="I926">
        <v>11813</v>
      </c>
    </row>
    <row r="927" spans="1:9" x14ac:dyDescent="0.35">
      <c r="A927" t="s">
        <v>9</v>
      </c>
      <c r="B927" t="s">
        <v>793</v>
      </c>
      <c r="C927" t="s">
        <v>930</v>
      </c>
      <c r="D927" t="str">
        <f>"121507"</f>
        <v>121507</v>
      </c>
      <c r="E927">
        <v>9288</v>
      </c>
      <c r="F927">
        <v>5701</v>
      </c>
      <c r="G927" s="1">
        <v>0.61380000000000001</v>
      </c>
      <c r="H927">
        <v>9</v>
      </c>
      <c r="I927">
        <v>9220</v>
      </c>
    </row>
    <row r="928" spans="1:9" x14ac:dyDescent="0.35">
      <c r="A928" t="s">
        <v>9</v>
      </c>
      <c r="B928" t="s">
        <v>793</v>
      </c>
      <c r="C928" t="s">
        <v>931</v>
      </c>
      <c r="D928" t="str">
        <f>"121508"</f>
        <v>121508</v>
      </c>
      <c r="E928">
        <v>7019</v>
      </c>
      <c r="F928">
        <v>4129</v>
      </c>
      <c r="G928" s="1">
        <v>0.58830000000000005</v>
      </c>
      <c r="H928">
        <v>8</v>
      </c>
      <c r="I928">
        <v>6867</v>
      </c>
    </row>
    <row r="929" spans="1:9" x14ac:dyDescent="0.35">
      <c r="A929" t="s">
        <v>9</v>
      </c>
      <c r="B929" t="s">
        <v>793</v>
      </c>
      <c r="C929" t="s">
        <v>932</v>
      </c>
      <c r="D929" t="str">
        <f>"121509"</f>
        <v>121509</v>
      </c>
      <c r="E929">
        <v>4280</v>
      </c>
      <c r="F929">
        <v>2570</v>
      </c>
      <c r="G929" s="1">
        <v>0.60050000000000003</v>
      </c>
      <c r="H929">
        <v>5</v>
      </c>
      <c r="I929">
        <v>4260</v>
      </c>
    </row>
    <row r="930" spans="1:9" x14ac:dyDescent="0.35">
      <c r="A930" t="s">
        <v>9</v>
      </c>
      <c r="B930" t="s">
        <v>793</v>
      </c>
      <c r="C930" t="s">
        <v>933</v>
      </c>
      <c r="D930" t="str">
        <f>"121601"</f>
        <v>121601</v>
      </c>
      <c r="E930">
        <v>8482</v>
      </c>
      <c r="F930">
        <v>4942</v>
      </c>
      <c r="G930" s="1">
        <v>0.58260000000000001</v>
      </c>
      <c r="H930">
        <v>13</v>
      </c>
      <c r="I930">
        <v>8430</v>
      </c>
    </row>
    <row r="931" spans="1:9" x14ac:dyDescent="0.35">
      <c r="A931" t="s">
        <v>9</v>
      </c>
      <c r="B931" t="s">
        <v>793</v>
      </c>
      <c r="C931" t="s">
        <v>934</v>
      </c>
      <c r="D931" t="str">
        <f>"121602"</f>
        <v>121602</v>
      </c>
      <c r="E931">
        <v>6610</v>
      </c>
      <c r="F931">
        <v>3771</v>
      </c>
      <c r="G931" s="1">
        <v>0.57050000000000001</v>
      </c>
      <c r="H931">
        <v>8</v>
      </c>
      <c r="I931">
        <v>6587</v>
      </c>
    </row>
    <row r="932" spans="1:9" x14ac:dyDescent="0.35">
      <c r="A932" t="s">
        <v>9</v>
      </c>
      <c r="B932" t="s">
        <v>793</v>
      </c>
      <c r="C932" t="s">
        <v>935</v>
      </c>
      <c r="D932" t="str">
        <f>"121603"</f>
        <v>121603</v>
      </c>
      <c r="E932">
        <v>11593</v>
      </c>
      <c r="F932">
        <v>6606</v>
      </c>
      <c r="G932" s="1">
        <v>0.56979999999999997</v>
      </c>
      <c r="H932">
        <v>12</v>
      </c>
      <c r="I932">
        <v>11549</v>
      </c>
    </row>
    <row r="933" spans="1:9" x14ac:dyDescent="0.35">
      <c r="A933" t="s">
        <v>9</v>
      </c>
      <c r="B933" t="s">
        <v>793</v>
      </c>
      <c r="C933" t="s">
        <v>936</v>
      </c>
      <c r="D933" t="str">
        <f>"121604"</f>
        <v>121604</v>
      </c>
      <c r="E933">
        <v>9150</v>
      </c>
      <c r="F933">
        <v>5254</v>
      </c>
      <c r="G933" s="1">
        <v>0.57420000000000004</v>
      </c>
      <c r="H933">
        <v>12</v>
      </c>
      <c r="I933">
        <v>9117</v>
      </c>
    </row>
    <row r="934" spans="1:9" x14ac:dyDescent="0.35">
      <c r="A934" t="s">
        <v>9</v>
      </c>
      <c r="B934" t="s">
        <v>793</v>
      </c>
      <c r="C934" t="s">
        <v>937</v>
      </c>
      <c r="D934" t="str">
        <f>"121605"</f>
        <v>121605</v>
      </c>
      <c r="E934">
        <v>7283</v>
      </c>
      <c r="F934">
        <v>3823</v>
      </c>
      <c r="G934" s="1">
        <v>0.52490000000000003</v>
      </c>
      <c r="H934">
        <v>14</v>
      </c>
      <c r="I934">
        <v>7247</v>
      </c>
    </row>
    <row r="935" spans="1:9" x14ac:dyDescent="0.35">
      <c r="A935" t="s">
        <v>9</v>
      </c>
      <c r="B935" t="s">
        <v>793</v>
      </c>
      <c r="C935" t="s">
        <v>938</v>
      </c>
      <c r="D935" t="str">
        <f>"121606"</f>
        <v>121606</v>
      </c>
      <c r="E935">
        <v>8773</v>
      </c>
      <c r="F935">
        <v>4919</v>
      </c>
      <c r="G935" s="1">
        <v>0.56069999999999998</v>
      </c>
      <c r="H935">
        <v>9</v>
      </c>
      <c r="I935">
        <v>8758</v>
      </c>
    </row>
    <row r="936" spans="1:9" x14ac:dyDescent="0.35">
      <c r="A936" t="s">
        <v>9</v>
      </c>
      <c r="B936" t="s">
        <v>793</v>
      </c>
      <c r="C936" t="s">
        <v>939</v>
      </c>
      <c r="D936" t="str">
        <f>"121607"</f>
        <v>121607</v>
      </c>
      <c r="E936">
        <v>5113</v>
      </c>
      <c r="F936">
        <v>3143</v>
      </c>
      <c r="G936" s="1">
        <v>0.61470000000000002</v>
      </c>
      <c r="H936">
        <v>6</v>
      </c>
      <c r="I936">
        <v>5093</v>
      </c>
    </row>
    <row r="937" spans="1:9" x14ac:dyDescent="0.35">
      <c r="A937" t="s">
        <v>9</v>
      </c>
      <c r="B937" t="s">
        <v>793</v>
      </c>
      <c r="C937" t="s">
        <v>940</v>
      </c>
      <c r="D937" t="str">
        <f>"121608"</f>
        <v>121608</v>
      </c>
      <c r="E937">
        <v>10952</v>
      </c>
      <c r="F937">
        <v>6246</v>
      </c>
      <c r="G937" s="1">
        <v>0.57030000000000003</v>
      </c>
      <c r="H937">
        <v>9</v>
      </c>
      <c r="I937">
        <v>10917</v>
      </c>
    </row>
    <row r="938" spans="1:9" x14ac:dyDescent="0.35">
      <c r="A938" t="s">
        <v>9</v>
      </c>
      <c r="B938" t="s">
        <v>793</v>
      </c>
      <c r="C938" t="s">
        <v>941</v>
      </c>
      <c r="D938" t="str">
        <f>"121609"</f>
        <v>121609</v>
      </c>
      <c r="E938">
        <v>19727</v>
      </c>
      <c r="F938">
        <v>11831</v>
      </c>
      <c r="G938" s="1">
        <v>0.59970000000000001</v>
      </c>
      <c r="H938">
        <v>16</v>
      </c>
      <c r="I938">
        <v>19668</v>
      </c>
    </row>
    <row r="939" spans="1:9" x14ac:dyDescent="0.35">
      <c r="A939" t="s">
        <v>9</v>
      </c>
      <c r="B939" t="s">
        <v>793</v>
      </c>
      <c r="C939" t="s">
        <v>942</v>
      </c>
      <c r="D939" t="str">
        <f>"121610"</f>
        <v>121610</v>
      </c>
      <c r="E939">
        <v>13290</v>
      </c>
      <c r="F939">
        <v>7649</v>
      </c>
      <c r="G939" s="1">
        <v>0.57550000000000001</v>
      </c>
      <c r="H939">
        <v>15</v>
      </c>
      <c r="I939">
        <v>13234</v>
      </c>
    </row>
    <row r="940" spans="1:9" x14ac:dyDescent="0.35">
      <c r="A940" t="s">
        <v>9</v>
      </c>
      <c r="B940" t="s">
        <v>793</v>
      </c>
      <c r="C940" t="s">
        <v>943</v>
      </c>
      <c r="D940" t="str">
        <f>"121611"</f>
        <v>121611</v>
      </c>
      <c r="E940">
        <v>8199</v>
      </c>
      <c r="F940">
        <v>4599</v>
      </c>
      <c r="G940" s="1">
        <v>0.56089999999999995</v>
      </c>
      <c r="H940">
        <v>11</v>
      </c>
      <c r="I940">
        <v>8162</v>
      </c>
    </row>
    <row r="941" spans="1:9" x14ac:dyDescent="0.35">
      <c r="A941" t="s">
        <v>9</v>
      </c>
      <c r="B941" t="s">
        <v>793</v>
      </c>
      <c r="C941" t="s">
        <v>944</v>
      </c>
      <c r="D941" t="str">
        <f>"121612"</f>
        <v>121612</v>
      </c>
      <c r="E941">
        <v>2975</v>
      </c>
      <c r="F941">
        <v>1447</v>
      </c>
      <c r="G941" s="1">
        <v>0.4864</v>
      </c>
      <c r="H941">
        <v>7</v>
      </c>
      <c r="I941">
        <v>2968</v>
      </c>
    </row>
    <row r="942" spans="1:9" x14ac:dyDescent="0.35">
      <c r="A942" t="s">
        <v>9</v>
      </c>
      <c r="B942" t="s">
        <v>793</v>
      </c>
      <c r="C942" t="s">
        <v>945</v>
      </c>
      <c r="D942" t="str">
        <f>"121613"</f>
        <v>121613</v>
      </c>
      <c r="E942">
        <v>10111</v>
      </c>
      <c r="F942">
        <v>5717</v>
      </c>
      <c r="G942" s="1">
        <v>0.56540000000000001</v>
      </c>
      <c r="H942">
        <v>13</v>
      </c>
      <c r="I942">
        <v>10054</v>
      </c>
    </row>
    <row r="943" spans="1:9" x14ac:dyDescent="0.35">
      <c r="A943" t="s">
        <v>9</v>
      </c>
      <c r="B943" t="s">
        <v>793</v>
      </c>
      <c r="C943" t="s">
        <v>946</v>
      </c>
      <c r="D943" t="str">
        <f>"121614"</f>
        <v>121614</v>
      </c>
      <c r="E943">
        <v>9335</v>
      </c>
      <c r="F943">
        <v>5430</v>
      </c>
      <c r="G943" s="1">
        <v>0.58169999999999999</v>
      </c>
      <c r="H943">
        <v>16</v>
      </c>
      <c r="I943">
        <v>9263</v>
      </c>
    </row>
    <row r="944" spans="1:9" x14ac:dyDescent="0.35">
      <c r="A944" t="s">
        <v>9</v>
      </c>
      <c r="B944" t="s">
        <v>793</v>
      </c>
      <c r="C944" t="s">
        <v>947</v>
      </c>
      <c r="D944" t="str">
        <f>"121615"</f>
        <v>121615</v>
      </c>
      <c r="E944">
        <v>14404</v>
      </c>
      <c r="F944">
        <v>7606</v>
      </c>
      <c r="G944" s="1">
        <v>0.52800000000000002</v>
      </c>
      <c r="H944">
        <v>18</v>
      </c>
      <c r="I944">
        <v>14360</v>
      </c>
    </row>
    <row r="945" spans="1:9" x14ac:dyDescent="0.35">
      <c r="A945" t="s">
        <v>9</v>
      </c>
      <c r="B945" t="s">
        <v>793</v>
      </c>
      <c r="C945" t="s">
        <v>948</v>
      </c>
      <c r="D945" t="str">
        <f>"121616"</f>
        <v>121616</v>
      </c>
      <c r="E945">
        <v>5970</v>
      </c>
      <c r="F945">
        <v>3527</v>
      </c>
      <c r="G945" s="1">
        <v>0.59079999999999999</v>
      </c>
      <c r="H945">
        <v>5</v>
      </c>
      <c r="I945">
        <v>5956</v>
      </c>
    </row>
    <row r="946" spans="1:9" x14ac:dyDescent="0.35">
      <c r="A946" t="s">
        <v>9</v>
      </c>
      <c r="B946" t="s">
        <v>793</v>
      </c>
      <c r="C946" t="s">
        <v>949</v>
      </c>
      <c r="D946" t="str">
        <f>"121701"</f>
        <v>121701</v>
      </c>
      <c r="E946">
        <v>24004</v>
      </c>
      <c r="F946">
        <v>14717</v>
      </c>
      <c r="G946" s="1">
        <v>0.61309999999999998</v>
      </c>
      <c r="H946">
        <v>19</v>
      </c>
      <c r="I946">
        <v>21559</v>
      </c>
    </row>
    <row r="947" spans="1:9" x14ac:dyDescent="0.35">
      <c r="A947" t="s">
        <v>9</v>
      </c>
      <c r="B947" t="s">
        <v>793</v>
      </c>
      <c r="C947" t="s">
        <v>950</v>
      </c>
      <c r="D947" t="str">
        <f>"121702"</f>
        <v>121702</v>
      </c>
      <c r="E947">
        <v>5695</v>
      </c>
      <c r="F947">
        <v>2750</v>
      </c>
      <c r="G947" s="1">
        <v>0.4829</v>
      </c>
      <c r="H947">
        <v>8</v>
      </c>
      <c r="I947">
        <v>5374</v>
      </c>
    </row>
    <row r="948" spans="1:9" x14ac:dyDescent="0.35">
      <c r="A948" t="s">
        <v>9</v>
      </c>
      <c r="B948" t="s">
        <v>793</v>
      </c>
      <c r="C948" t="s">
        <v>951</v>
      </c>
      <c r="D948" t="str">
        <f>"121703"</f>
        <v>121703</v>
      </c>
      <c r="E948">
        <v>10785</v>
      </c>
      <c r="F948">
        <v>5661</v>
      </c>
      <c r="G948" s="1">
        <v>0.52490000000000003</v>
      </c>
      <c r="H948">
        <v>10</v>
      </c>
      <c r="I948">
        <v>10445</v>
      </c>
    </row>
    <row r="949" spans="1:9" x14ac:dyDescent="0.35">
      <c r="A949" t="s">
        <v>9</v>
      </c>
      <c r="B949" t="s">
        <v>793</v>
      </c>
      <c r="C949" t="s">
        <v>952</v>
      </c>
      <c r="D949" t="str">
        <f>"121704"</f>
        <v>121704</v>
      </c>
      <c r="E949">
        <v>7400</v>
      </c>
      <c r="F949">
        <v>3733</v>
      </c>
      <c r="G949" s="1">
        <v>0.50449999999999995</v>
      </c>
      <c r="H949">
        <v>4</v>
      </c>
      <c r="I949">
        <v>7070</v>
      </c>
    </row>
    <row r="950" spans="1:9" x14ac:dyDescent="0.35">
      <c r="A950" t="s">
        <v>9</v>
      </c>
      <c r="B950" t="s">
        <v>793</v>
      </c>
      <c r="C950" t="s">
        <v>953</v>
      </c>
      <c r="D950" t="str">
        <f>"121705"</f>
        <v>121705</v>
      </c>
      <c r="E950">
        <v>9329</v>
      </c>
      <c r="F950">
        <v>4714</v>
      </c>
      <c r="G950" s="1">
        <v>0.50529999999999997</v>
      </c>
      <c r="H950">
        <v>8</v>
      </c>
      <c r="I950">
        <v>8945</v>
      </c>
    </row>
    <row r="951" spans="1:9" x14ac:dyDescent="0.35">
      <c r="A951" t="s">
        <v>9</v>
      </c>
      <c r="B951" t="s">
        <v>793</v>
      </c>
      <c r="C951" t="s">
        <v>954</v>
      </c>
      <c r="D951" t="str">
        <f>"121801"</f>
        <v>121801</v>
      </c>
      <c r="E951">
        <v>32244</v>
      </c>
      <c r="F951">
        <v>19254</v>
      </c>
      <c r="G951" s="1">
        <v>0.59709999999999996</v>
      </c>
      <c r="H951">
        <v>23</v>
      </c>
      <c r="I951">
        <v>32037</v>
      </c>
    </row>
    <row r="952" spans="1:9" x14ac:dyDescent="0.35">
      <c r="A952" t="s">
        <v>9</v>
      </c>
      <c r="B952" t="s">
        <v>793</v>
      </c>
      <c r="C952" t="s">
        <v>597</v>
      </c>
      <c r="D952" t="str">
        <f>"121802"</f>
        <v>121802</v>
      </c>
      <c r="E952">
        <v>8226</v>
      </c>
      <c r="F952">
        <v>4997</v>
      </c>
      <c r="G952" s="1">
        <v>0.60750000000000004</v>
      </c>
      <c r="H952">
        <v>12</v>
      </c>
      <c r="I952">
        <v>8192</v>
      </c>
    </row>
    <row r="953" spans="1:9" x14ac:dyDescent="0.35">
      <c r="A953" t="s">
        <v>9</v>
      </c>
      <c r="B953" t="s">
        <v>793</v>
      </c>
      <c r="C953" t="s">
        <v>955</v>
      </c>
      <c r="D953" t="str">
        <f>"121803"</f>
        <v>121803</v>
      </c>
      <c r="E953">
        <v>15428</v>
      </c>
      <c r="F953">
        <v>9137</v>
      </c>
      <c r="G953" s="1">
        <v>0.59219999999999995</v>
      </c>
      <c r="H953">
        <v>15</v>
      </c>
      <c r="I953">
        <v>15342</v>
      </c>
    </row>
    <row r="954" spans="1:9" x14ac:dyDescent="0.35">
      <c r="A954" t="s">
        <v>9</v>
      </c>
      <c r="B954" t="s">
        <v>793</v>
      </c>
      <c r="C954" t="s">
        <v>956</v>
      </c>
      <c r="D954" t="str">
        <f>"121804"</f>
        <v>121804</v>
      </c>
      <c r="E954">
        <v>4826</v>
      </c>
      <c r="F954">
        <v>2757</v>
      </c>
      <c r="G954" s="1">
        <v>0.57130000000000003</v>
      </c>
      <c r="H954">
        <v>4</v>
      </c>
      <c r="I954">
        <v>4787</v>
      </c>
    </row>
    <row r="955" spans="1:9" x14ac:dyDescent="0.35">
      <c r="A955" t="s">
        <v>9</v>
      </c>
      <c r="B955" t="s">
        <v>793</v>
      </c>
      <c r="C955" t="s">
        <v>957</v>
      </c>
      <c r="D955" t="str">
        <f>"121805"</f>
        <v>121805</v>
      </c>
      <c r="E955">
        <v>3189</v>
      </c>
      <c r="F955">
        <v>1965</v>
      </c>
      <c r="G955" s="1">
        <v>0.61619999999999997</v>
      </c>
      <c r="H955">
        <v>5</v>
      </c>
      <c r="I955">
        <v>3160</v>
      </c>
    </row>
    <row r="956" spans="1:9" x14ac:dyDescent="0.35">
      <c r="A956" t="s">
        <v>9</v>
      </c>
      <c r="B956" t="s">
        <v>793</v>
      </c>
      <c r="C956" t="s">
        <v>903</v>
      </c>
      <c r="D956" t="str">
        <f>"121806"</f>
        <v>121806</v>
      </c>
      <c r="E956">
        <v>7812</v>
      </c>
      <c r="F956">
        <v>4506</v>
      </c>
      <c r="G956" s="1">
        <v>0.57679999999999998</v>
      </c>
      <c r="H956">
        <v>6</v>
      </c>
      <c r="I956">
        <v>7790</v>
      </c>
    </row>
    <row r="957" spans="1:9" x14ac:dyDescent="0.35">
      <c r="A957" t="s">
        <v>9</v>
      </c>
      <c r="B957" t="s">
        <v>793</v>
      </c>
      <c r="C957" t="s">
        <v>958</v>
      </c>
      <c r="D957" t="str">
        <f>"121807"</f>
        <v>121807</v>
      </c>
      <c r="E957">
        <v>5350</v>
      </c>
      <c r="F957">
        <v>3214</v>
      </c>
      <c r="G957" s="1">
        <v>0.60070000000000001</v>
      </c>
      <c r="H957">
        <v>6</v>
      </c>
      <c r="I957">
        <v>5337</v>
      </c>
    </row>
    <row r="958" spans="1:9" x14ac:dyDescent="0.35">
      <c r="A958" t="s">
        <v>9</v>
      </c>
      <c r="B958" t="s">
        <v>793</v>
      </c>
      <c r="C958" t="s">
        <v>959</v>
      </c>
      <c r="D958" t="str">
        <f>"121808"</f>
        <v>121808</v>
      </c>
      <c r="E958">
        <v>6141</v>
      </c>
      <c r="F958">
        <v>3645</v>
      </c>
      <c r="G958" s="1">
        <v>0.59360000000000002</v>
      </c>
      <c r="H958">
        <v>6</v>
      </c>
      <c r="I958">
        <v>6112</v>
      </c>
    </row>
    <row r="959" spans="1:9" x14ac:dyDescent="0.35">
      <c r="A959" t="s">
        <v>9</v>
      </c>
      <c r="B959" t="s">
        <v>793</v>
      </c>
      <c r="C959" t="s">
        <v>960</v>
      </c>
      <c r="D959" t="str">
        <f>"121809"</f>
        <v>121809</v>
      </c>
      <c r="E959">
        <v>28194</v>
      </c>
      <c r="F959">
        <v>16680</v>
      </c>
      <c r="G959" s="1">
        <v>0.59160000000000001</v>
      </c>
      <c r="H959">
        <v>24</v>
      </c>
      <c r="I959">
        <v>28031</v>
      </c>
    </row>
    <row r="960" spans="1:9" x14ac:dyDescent="0.35">
      <c r="A960" t="s">
        <v>9</v>
      </c>
      <c r="B960" t="s">
        <v>793</v>
      </c>
      <c r="C960" t="s">
        <v>961</v>
      </c>
      <c r="D960" t="str">
        <f>"121810"</f>
        <v>121810</v>
      </c>
      <c r="E960">
        <v>9526</v>
      </c>
      <c r="F960">
        <v>5948</v>
      </c>
      <c r="G960" s="1">
        <v>0.62439999999999996</v>
      </c>
      <c r="H960">
        <v>9</v>
      </c>
      <c r="I960">
        <v>9508</v>
      </c>
    </row>
    <row r="961" spans="1:9" x14ac:dyDescent="0.35">
      <c r="A961" t="s">
        <v>9</v>
      </c>
      <c r="B961" t="s">
        <v>793</v>
      </c>
      <c r="C961" t="s">
        <v>962</v>
      </c>
      <c r="D961" t="str">
        <f>"121901"</f>
        <v>121901</v>
      </c>
      <c r="E961">
        <v>8419</v>
      </c>
      <c r="F961">
        <v>5333</v>
      </c>
      <c r="G961" s="1">
        <v>0.63339999999999996</v>
      </c>
      <c r="H961">
        <v>11</v>
      </c>
      <c r="I961">
        <v>8375</v>
      </c>
    </row>
    <row r="962" spans="1:9" x14ac:dyDescent="0.35">
      <c r="A962" t="s">
        <v>9</v>
      </c>
      <c r="B962" t="s">
        <v>793</v>
      </c>
      <c r="C962" t="s">
        <v>963</v>
      </c>
      <c r="D962" t="str">
        <f>"121902"</f>
        <v>121902</v>
      </c>
      <c r="E962">
        <v>14068</v>
      </c>
      <c r="F962">
        <v>8445</v>
      </c>
      <c r="G962" s="1">
        <v>0.60029999999999994</v>
      </c>
      <c r="H962">
        <v>27</v>
      </c>
      <c r="I962">
        <v>13965</v>
      </c>
    </row>
    <row r="963" spans="1:9" x14ac:dyDescent="0.35">
      <c r="A963" t="s">
        <v>9</v>
      </c>
      <c r="B963" t="s">
        <v>793</v>
      </c>
      <c r="C963" t="s">
        <v>964</v>
      </c>
      <c r="D963" t="str">
        <f>"121903"</f>
        <v>121903</v>
      </c>
      <c r="E963">
        <v>8604</v>
      </c>
      <c r="F963">
        <v>4726</v>
      </c>
      <c r="G963" s="1">
        <v>0.54930000000000001</v>
      </c>
      <c r="H963">
        <v>10</v>
      </c>
      <c r="I963">
        <v>8412</v>
      </c>
    </row>
    <row r="964" spans="1:9" x14ac:dyDescent="0.35">
      <c r="A964" t="s">
        <v>9</v>
      </c>
      <c r="B964" t="s">
        <v>793</v>
      </c>
      <c r="C964" t="s">
        <v>965</v>
      </c>
      <c r="D964" t="str">
        <f>"121904"</f>
        <v>121904</v>
      </c>
      <c r="E964">
        <v>23257</v>
      </c>
      <c r="F964">
        <v>14531</v>
      </c>
      <c r="G964" s="1">
        <v>0.62480000000000002</v>
      </c>
      <c r="H964">
        <v>20</v>
      </c>
      <c r="I964">
        <v>22972</v>
      </c>
    </row>
    <row r="965" spans="1:9" x14ac:dyDescent="0.35">
      <c r="A965" t="s">
        <v>9</v>
      </c>
      <c r="B965" t="s">
        <v>793</v>
      </c>
      <c r="C965" t="s">
        <v>966</v>
      </c>
      <c r="D965" t="str">
        <f>"121905"</f>
        <v>121905</v>
      </c>
      <c r="E965">
        <v>48536</v>
      </c>
      <c r="F965">
        <v>30754</v>
      </c>
      <c r="G965" s="1">
        <v>0.63360000000000005</v>
      </c>
      <c r="H965">
        <v>39</v>
      </c>
      <c r="I965">
        <v>48140</v>
      </c>
    </row>
    <row r="966" spans="1:9" x14ac:dyDescent="0.35">
      <c r="A966" t="s">
        <v>9</v>
      </c>
      <c r="B966" t="s">
        <v>793</v>
      </c>
      <c r="C966" t="s">
        <v>967</v>
      </c>
      <c r="D966" t="str">
        <f>"126101"</f>
        <v>126101</v>
      </c>
      <c r="E966">
        <v>602896</v>
      </c>
      <c r="F966">
        <v>363556</v>
      </c>
      <c r="G966" s="1">
        <v>0.60299999999999998</v>
      </c>
      <c r="H966">
        <v>411</v>
      </c>
      <c r="I966">
        <v>596297</v>
      </c>
    </row>
    <row r="967" spans="1:9" x14ac:dyDescent="0.35">
      <c r="A967" t="s">
        <v>9</v>
      </c>
      <c r="B967" t="s">
        <v>793</v>
      </c>
      <c r="C967" t="s">
        <v>968</v>
      </c>
      <c r="D967" t="str">
        <f>"126201"</f>
        <v>126201</v>
      </c>
      <c r="E967">
        <v>59654</v>
      </c>
      <c r="F967">
        <v>36505</v>
      </c>
      <c r="G967" s="1">
        <v>0.6119</v>
      </c>
      <c r="H967">
        <v>47</v>
      </c>
      <c r="I967">
        <v>59259</v>
      </c>
    </row>
    <row r="968" spans="1:9" x14ac:dyDescent="0.35">
      <c r="A968" t="s">
        <v>9</v>
      </c>
      <c r="B968" t="s">
        <v>793</v>
      </c>
      <c r="C968" t="s">
        <v>969</v>
      </c>
      <c r="D968" t="str">
        <f>"126301"</f>
        <v>126301</v>
      </c>
      <c r="E968">
        <v>78923</v>
      </c>
      <c r="F968">
        <v>46121</v>
      </c>
      <c r="G968" s="1">
        <v>0.58440000000000003</v>
      </c>
      <c r="H968">
        <v>66</v>
      </c>
      <c r="I968">
        <v>78457</v>
      </c>
    </row>
    <row r="969" spans="1:9" x14ac:dyDescent="0.35">
      <c r="A969" t="s">
        <v>9</v>
      </c>
      <c r="B969" t="s">
        <v>970</v>
      </c>
      <c r="C969" t="s">
        <v>971</v>
      </c>
      <c r="D969" t="str">
        <f>"140101"</f>
        <v>140101</v>
      </c>
      <c r="E969">
        <v>7778</v>
      </c>
      <c r="F969">
        <v>4952</v>
      </c>
      <c r="G969" s="1">
        <v>0.63670000000000004</v>
      </c>
      <c r="H969">
        <v>5</v>
      </c>
      <c r="I969">
        <v>7722</v>
      </c>
    </row>
    <row r="970" spans="1:9" x14ac:dyDescent="0.35">
      <c r="A970" t="s">
        <v>9</v>
      </c>
      <c r="B970" t="s">
        <v>970</v>
      </c>
      <c r="C970" t="s">
        <v>972</v>
      </c>
      <c r="D970" t="str">
        <f>"140102"</f>
        <v>140102</v>
      </c>
      <c r="E970">
        <v>4333</v>
      </c>
      <c r="F970">
        <v>2431</v>
      </c>
      <c r="G970" s="1">
        <v>0.56100000000000005</v>
      </c>
      <c r="H970">
        <v>6</v>
      </c>
      <c r="I970">
        <v>4304</v>
      </c>
    </row>
    <row r="971" spans="1:9" x14ac:dyDescent="0.35">
      <c r="A971" t="s">
        <v>9</v>
      </c>
      <c r="B971" t="s">
        <v>970</v>
      </c>
      <c r="C971" t="s">
        <v>973</v>
      </c>
      <c r="D971" t="str">
        <f>"140103"</f>
        <v>140103</v>
      </c>
      <c r="E971">
        <v>2962</v>
      </c>
      <c r="F971">
        <v>1951</v>
      </c>
      <c r="G971" s="1">
        <v>0.65869999999999995</v>
      </c>
      <c r="H971">
        <v>6</v>
      </c>
      <c r="I971">
        <v>2947</v>
      </c>
    </row>
    <row r="972" spans="1:9" x14ac:dyDescent="0.35">
      <c r="A972" t="s">
        <v>9</v>
      </c>
      <c r="B972" t="s">
        <v>970</v>
      </c>
      <c r="C972" t="s">
        <v>974</v>
      </c>
      <c r="D972" t="str">
        <f>"140104"</f>
        <v>140104</v>
      </c>
      <c r="E972">
        <v>4198</v>
      </c>
      <c r="F972">
        <v>2588</v>
      </c>
      <c r="G972" s="1">
        <v>0.61650000000000005</v>
      </c>
      <c r="H972">
        <v>9</v>
      </c>
      <c r="I972">
        <v>4176</v>
      </c>
    </row>
    <row r="973" spans="1:9" x14ac:dyDescent="0.35">
      <c r="A973" t="s">
        <v>9</v>
      </c>
      <c r="B973" t="s">
        <v>970</v>
      </c>
      <c r="C973" t="s">
        <v>975</v>
      </c>
      <c r="D973" t="str">
        <f>"140105"</f>
        <v>140105</v>
      </c>
      <c r="E973">
        <v>4326</v>
      </c>
      <c r="F973">
        <v>2404</v>
      </c>
      <c r="G973" s="1">
        <v>0.55569999999999997</v>
      </c>
      <c r="H973">
        <v>8</v>
      </c>
      <c r="I973">
        <v>4297</v>
      </c>
    </row>
    <row r="974" spans="1:9" x14ac:dyDescent="0.35">
      <c r="A974" t="s">
        <v>9</v>
      </c>
      <c r="B974" t="s">
        <v>970</v>
      </c>
      <c r="C974" t="s">
        <v>976</v>
      </c>
      <c r="D974" t="str">
        <f>"140106"</f>
        <v>140106</v>
      </c>
      <c r="E974">
        <v>2254</v>
      </c>
      <c r="F974">
        <v>1343</v>
      </c>
      <c r="G974" s="1">
        <v>0.5958</v>
      </c>
      <c r="H974">
        <v>3</v>
      </c>
      <c r="I974">
        <v>2231</v>
      </c>
    </row>
    <row r="975" spans="1:9" x14ac:dyDescent="0.35">
      <c r="A975" t="s">
        <v>9</v>
      </c>
      <c r="B975" t="s">
        <v>970</v>
      </c>
      <c r="C975" t="s">
        <v>977</v>
      </c>
      <c r="D975" t="str">
        <f>"140201"</f>
        <v>140201</v>
      </c>
      <c r="E975">
        <v>32084</v>
      </c>
      <c r="F975">
        <v>19191</v>
      </c>
      <c r="G975" s="1">
        <v>0.59809999999999997</v>
      </c>
      <c r="H975">
        <v>21</v>
      </c>
      <c r="I975">
        <v>31885</v>
      </c>
    </row>
    <row r="976" spans="1:9" x14ac:dyDescent="0.35">
      <c r="A976" t="s">
        <v>9</v>
      </c>
      <c r="B976" t="s">
        <v>970</v>
      </c>
      <c r="C976" t="s">
        <v>978</v>
      </c>
      <c r="D976" t="str">
        <f>"140202"</f>
        <v>140202</v>
      </c>
      <c r="E976">
        <v>5567</v>
      </c>
      <c r="F976">
        <v>3310</v>
      </c>
      <c r="G976" s="1">
        <v>0.59460000000000002</v>
      </c>
      <c r="H976">
        <v>8</v>
      </c>
      <c r="I976">
        <v>5524</v>
      </c>
    </row>
    <row r="977" spans="1:9" x14ac:dyDescent="0.35">
      <c r="A977" t="s">
        <v>9</v>
      </c>
      <c r="B977" t="s">
        <v>970</v>
      </c>
      <c r="C977" t="s">
        <v>979</v>
      </c>
      <c r="D977" t="str">
        <f>"140203"</f>
        <v>140203</v>
      </c>
      <c r="E977">
        <v>5789</v>
      </c>
      <c r="F977">
        <v>3034</v>
      </c>
      <c r="G977" s="1">
        <v>0.52410000000000001</v>
      </c>
      <c r="H977">
        <v>5</v>
      </c>
      <c r="I977">
        <v>5765</v>
      </c>
    </row>
    <row r="978" spans="1:9" x14ac:dyDescent="0.35">
      <c r="A978" t="s">
        <v>9</v>
      </c>
      <c r="B978" t="s">
        <v>970</v>
      </c>
      <c r="C978" t="s">
        <v>980</v>
      </c>
      <c r="D978" t="str">
        <f>"140204"</f>
        <v>140204</v>
      </c>
      <c r="E978">
        <v>2849</v>
      </c>
      <c r="F978">
        <v>1466</v>
      </c>
      <c r="G978" s="1">
        <v>0.51459999999999995</v>
      </c>
      <c r="H978">
        <v>3</v>
      </c>
      <c r="I978">
        <v>2827</v>
      </c>
    </row>
    <row r="979" spans="1:9" x14ac:dyDescent="0.35">
      <c r="A979" t="s">
        <v>9</v>
      </c>
      <c r="B979" t="s">
        <v>970</v>
      </c>
      <c r="C979" t="s">
        <v>981</v>
      </c>
      <c r="D979" t="str">
        <f>"140205"</f>
        <v>140205</v>
      </c>
      <c r="E979">
        <v>2667</v>
      </c>
      <c r="F979">
        <v>1385</v>
      </c>
      <c r="G979" s="1">
        <v>0.51929999999999998</v>
      </c>
      <c r="H979">
        <v>3</v>
      </c>
      <c r="I979">
        <v>2649</v>
      </c>
    </row>
    <row r="980" spans="1:9" x14ac:dyDescent="0.35">
      <c r="A980" t="s">
        <v>9</v>
      </c>
      <c r="B980" t="s">
        <v>970</v>
      </c>
      <c r="C980" t="s">
        <v>982</v>
      </c>
      <c r="D980" t="str">
        <f>"140206"</f>
        <v>140206</v>
      </c>
      <c r="E980">
        <v>3258</v>
      </c>
      <c r="F980">
        <v>1692</v>
      </c>
      <c r="G980" s="1">
        <v>0.51929999999999998</v>
      </c>
      <c r="H980">
        <v>3</v>
      </c>
      <c r="I980">
        <v>3242</v>
      </c>
    </row>
    <row r="981" spans="1:9" x14ac:dyDescent="0.35">
      <c r="A981" t="s">
        <v>9</v>
      </c>
      <c r="B981" t="s">
        <v>970</v>
      </c>
      <c r="C981" t="s">
        <v>983</v>
      </c>
      <c r="D981" t="str">
        <f>"140207"</f>
        <v>140207</v>
      </c>
      <c r="E981">
        <v>4654</v>
      </c>
      <c r="F981">
        <v>2657</v>
      </c>
      <c r="G981" s="1">
        <v>0.57089999999999996</v>
      </c>
      <c r="H981">
        <v>6</v>
      </c>
      <c r="I981">
        <v>4645</v>
      </c>
    </row>
    <row r="982" spans="1:9" x14ac:dyDescent="0.35">
      <c r="A982" t="s">
        <v>9</v>
      </c>
      <c r="B982" t="s">
        <v>970</v>
      </c>
      <c r="C982" t="s">
        <v>984</v>
      </c>
      <c r="D982" t="str">
        <f>"140208"</f>
        <v>140208</v>
      </c>
      <c r="E982">
        <v>3771</v>
      </c>
      <c r="F982">
        <v>2114</v>
      </c>
      <c r="G982" s="1">
        <v>0.56059999999999999</v>
      </c>
      <c r="H982">
        <v>8</v>
      </c>
      <c r="I982">
        <v>3766</v>
      </c>
    </row>
    <row r="983" spans="1:9" x14ac:dyDescent="0.35">
      <c r="A983" t="s">
        <v>9</v>
      </c>
      <c r="B983" t="s">
        <v>970</v>
      </c>
      <c r="C983" t="s">
        <v>985</v>
      </c>
      <c r="D983" t="str">
        <f>"140209"</f>
        <v>140209</v>
      </c>
      <c r="E983">
        <v>5844</v>
      </c>
      <c r="F983">
        <v>3251</v>
      </c>
      <c r="G983" s="1">
        <v>0.55630000000000002</v>
      </c>
      <c r="H983">
        <v>9</v>
      </c>
      <c r="I983">
        <v>5807</v>
      </c>
    </row>
    <row r="984" spans="1:9" x14ac:dyDescent="0.35">
      <c r="A984" t="s">
        <v>9</v>
      </c>
      <c r="B984" t="s">
        <v>970</v>
      </c>
      <c r="C984" t="s">
        <v>986</v>
      </c>
      <c r="D984" t="str">
        <f>"140301"</f>
        <v>140301</v>
      </c>
      <c r="E984">
        <v>13121</v>
      </c>
      <c r="F984">
        <v>8195</v>
      </c>
      <c r="G984" s="1">
        <v>0.62460000000000004</v>
      </c>
      <c r="H984">
        <v>15</v>
      </c>
      <c r="I984">
        <v>12971</v>
      </c>
    </row>
    <row r="985" spans="1:9" x14ac:dyDescent="0.35">
      <c r="A985" t="s">
        <v>9</v>
      </c>
      <c r="B985" t="s">
        <v>970</v>
      </c>
      <c r="C985" t="s">
        <v>987</v>
      </c>
      <c r="D985" t="str">
        <f>"140302"</f>
        <v>140302</v>
      </c>
      <c r="E985">
        <v>3668</v>
      </c>
      <c r="F985">
        <v>2175</v>
      </c>
      <c r="G985" s="1">
        <v>0.59299999999999997</v>
      </c>
      <c r="H985">
        <v>4</v>
      </c>
      <c r="I985">
        <v>3642</v>
      </c>
    </row>
    <row r="986" spans="1:9" x14ac:dyDescent="0.35">
      <c r="A986" t="s">
        <v>9</v>
      </c>
      <c r="B986" t="s">
        <v>970</v>
      </c>
      <c r="C986" t="s">
        <v>988</v>
      </c>
      <c r="D986" t="str">
        <f>"140303"</f>
        <v>140303</v>
      </c>
      <c r="E986">
        <v>4035</v>
      </c>
      <c r="F986">
        <v>2402</v>
      </c>
      <c r="G986" s="1">
        <v>0.59530000000000005</v>
      </c>
      <c r="H986">
        <v>10</v>
      </c>
      <c r="I986">
        <v>4017</v>
      </c>
    </row>
    <row r="987" spans="1:9" x14ac:dyDescent="0.35">
      <c r="A987" t="s">
        <v>9</v>
      </c>
      <c r="B987" t="s">
        <v>970</v>
      </c>
      <c r="C987" t="s">
        <v>989</v>
      </c>
      <c r="D987" t="str">
        <f>"140304"</f>
        <v>140304</v>
      </c>
      <c r="E987">
        <v>10065</v>
      </c>
      <c r="F987">
        <v>5989</v>
      </c>
      <c r="G987" s="1">
        <v>0.59499999999999997</v>
      </c>
      <c r="H987">
        <v>14</v>
      </c>
      <c r="I987">
        <v>9973</v>
      </c>
    </row>
    <row r="988" spans="1:9" x14ac:dyDescent="0.35">
      <c r="A988" t="s">
        <v>9</v>
      </c>
      <c r="B988" t="s">
        <v>970</v>
      </c>
      <c r="C988" t="s">
        <v>194</v>
      </c>
      <c r="D988" t="str">
        <f>"140305"</f>
        <v>140305</v>
      </c>
      <c r="E988">
        <v>4997</v>
      </c>
      <c r="F988">
        <v>3127</v>
      </c>
      <c r="G988" s="1">
        <v>0.62580000000000002</v>
      </c>
      <c r="H988">
        <v>11</v>
      </c>
      <c r="I988">
        <v>4981</v>
      </c>
    </row>
    <row r="989" spans="1:9" x14ac:dyDescent="0.35">
      <c r="A989" t="s">
        <v>9</v>
      </c>
      <c r="B989" t="s">
        <v>970</v>
      </c>
      <c r="C989" t="s">
        <v>990</v>
      </c>
      <c r="D989" t="str">
        <f>"140306"</f>
        <v>140306</v>
      </c>
      <c r="E989">
        <v>4065</v>
      </c>
      <c r="F989">
        <v>2418</v>
      </c>
      <c r="G989" s="1">
        <v>0.5948</v>
      </c>
      <c r="H989">
        <v>6</v>
      </c>
      <c r="I989">
        <v>4051</v>
      </c>
    </row>
    <row r="990" spans="1:9" x14ac:dyDescent="0.35">
      <c r="A990" t="s">
        <v>9</v>
      </c>
      <c r="B990" t="s">
        <v>970</v>
      </c>
      <c r="C990" t="s">
        <v>991</v>
      </c>
      <c r="D990" t="str">
        <f>"140307"</f>
        <v>140307</v>
      </c>
      <c r="E990">
        <v>5380</v>
      </c>
      <c r="F990">
        <v>2993</v>
      </c>
      <c r="G990" s="1">
        <v>0.55630000000000002</v>
      </c>
      <c r="H990">
        <v>12</v>
      </c>
      <c r="I990">
        <v>5343</v>
      </c>
    </row>
    <row r="991" spans="1:9" x14ac:dyDescent="0.35">
      <c r="A991" t="s">
        <v>9</v>
      </c>
      <c r="B991" t="s">
        <v>970</v>
      </c>
      <c r="C991" t="s">
        <v>992</v>
      </c>
      <c r="D991" t="str">
        <f>"140308"</f>
        <v>140308</v>
      </c>
      <c r="E991">
        <v>3657</v>
      </c>
      <c r="F991">
        <v>2493</v>
      </c>
      <c r="G991" s="1">
        <v>0.68169999999999997</v>
      </c>
      <c r="H991">
        <v>11</v>
      </c>
      <c r="I991">
        <v>3630</v>
      </c>
    </row>
    <row r="992" spans="1:9" x14ac:dyDescent="0.35">
      <c r="A992" t="s">
        <v>9</v>
      </c>
      <c r="B992" t="s">
        <v>970</v>
      </c>
      <c r="C992" t="s">
        <v>993</v>
      </c>
      <c r="D992" t="str">
        <f>"140309"</f>
        <v>140309</v>
      </c>
      <c r="E992">
        <v>3136</v>
      </c>
      <c r="F992">
        <v>1875</v>
      </c>
      <c r="G992" s="1">
        <v>0.59789999999999999</v>
      </c>
      <c r="H992">
        <v>9</v>
      </c>
      <c r="I992">
        <v>3127</v>
      </c>
    </row>
    <row r="993" spans="1:9" x14ac:dyDescent="0.35">
      <c r="A993" t="s">
        <v>9</v>
      </c>
      <c r="B993" t="s">
        <v>970</v>
      </c>
      <c r="C993" t="s">
        <v>994</v>
      </c>
      <c r="D993" t="str">
        <f>"140310"</f>
        <v>140310</v>
      </c>
      <c r="E993">
        <v>8236</v>
      </c>
      <c r="F993">
        <v>5132</v>
      </c>
      <c r="G993" s="1">
        <v>0.62309999999999999</v>
      </c>
      <c r="H993">
        <v>13</v>
      </c>
      <c r="I993">
        <v>8188</v>
      </c>
    </row>
    <row r="994" spans="1:9" x14ac:dyDescent="0.35">
      <c r="A994" t="s">
        <v>9</v>
      </c>
      <c r="B994" t="s">
        <v>970</v>
      </c>
      <c r="C994" t="s">
        <v>995</v>
      </c>
      <c r="D994" t="str">
        <f>"140311"</f>
        <v>140311</v>
      </c>
      <c r="E994">
        <v>6070</v>
      </c>
      <c r="F994">
        <v>3609</v>
      </c>
      <c r="G994" s="1">
        <v>0.59460000000000002</v>
      </c>
      <c r="H994">
        <v>8</v>
      </c>
      <c r="I994">
        <v>6050</v>
      </c>
    </row>
    <row r="995" spans="1:9" x14ac:dyDescent="0.35">
      <c r="A995" t="s">
        <v>9</v>
      </c>
      <c r="B995" t="s">
        <v>970</v>
      </c>
      <c r="C995" t="s">
        <v>996</v>
      </c>
      <c r="D995" t="str">
        <f>"140312"</f>
        <v>140312</v>
      </c>
      <c r="E995">
        <v>5533</v>
      </c>
      <c r="F995">
        <v>3401</v>
      </c>
      <c r="G995" s="1">
        <v>0.61470000000000002</v>
      </c>
      <c r="H995">
        <v>12</v>
      </c>
      <c r="I995">
        <v>5500</v>
      </c>
    </row>
    <row r="996" spans="1:9" x14ac:dyDescent="0.35">
      <c r="A996" t="s">
        <v>9</v>
      </c>
      <c r="B996" t="s">
        <v>970</v>
      </c>
      <c r="C996" t="s">
        <v>997</v>
      </c>
      <c r="D996" t="str">
        <f>"140313"</f>
        <v>140313</v>
      </c>
      <c r="E996">
        <v>4403</v>
      </c>
      <c r="F996">
        <v>2621</v>
      </c>
      <c r="G996" s="1">
        <v>0.59530000000000005</v>
      </c>
      <c r="H996">
        <v>6</v>
      </c>
      <c r="I996">
        <v>4284</v>
      </c>
    </row>
    <row r="997" spans="1:9" x14ac:dyDescent="0.35">
      <c r="A997" t="s">
        <v>9</v>
      </c>
      <c r="B997" t="s">
        <v>970</v>
      </c>
      <c r="C997" t="s">
        <v>998</v>
      </c>
      <c r="D997" t="str">
        <f>"140314"</f>
        <v>140314</v>
      </c>
      <c r="E997">
        <v>6117</v>
      </c>
      <c r="F997">
        <v>3666</v>
      </c>
      <c r="G997" s="1">
        <v>0.59930000000000005</v>
      </c>
      <c r="H997">
        <v>8</v>
      </c>
      <c r="I997">
        <v>6078</v>
      </c>
    </row>
    <row r="998" spans="1:9" x14ac:dyDescent="0.35">
      <c r="A998" t="s">
        <v>9</v>
      </c>
      <c r="B998" t="s">
        <v>970</v>
      </c>
      <c r="C998" t="s">
        <v>999</v>
      </c>
      <c r="D998" t="str">
        <f>"140401"</f>
        <v>140401</v>
      </c>
      <c r="E998">
        <v>13187</v>
      </c>
      <c r="F998">
        <v>7646</v>
      </c>
      <c r="G998" s="1">
        <v>0.57979999999999998</v>
      </c>
      <c r="H998">
        <v>13</v>
      </c>
      <c r="I998">
        <v>13075</v>
      </c>
    </row>
    <row r="999" spans="1:9" x14ac:dyDescent="0.35">
      <c r="A999" t="s">
        <v>9</v>
      </c>
      <c r="B999" t="s">
        <v>970</v>
      </c>
      <c r="C999" t="s">
        <v>1000</v>
      </c>
      <c r="D999" t="str">
        <f>"140402"</f>
        <v>140402</v>
      </c>
      <c r="E999">
        <v>9300</v>
      </c>
      <c r="F999">
        <v>5239</v>
      </c>
      <c r="G999" s="1">
        <v>0.56330000000000002</v>
      </c>
      <c r="H999">
        <v>15</v>
      </c>
      <c r="I999">
        <v>9270</v>
      </c>
    </row>
    <row r="1000" spans="1:9" x14ac:dyDescent="0.35">
      <c r="A1000" t="s">
        <v>9</v>
      </c>
      <c r="B1000" t="s">
        <v>970</v>
      </c>
      <c r="C1000" t="s">
        <v>1001</v>
      </c>
      <c r="D1000" t="str">
        <f>"140403"</f>
        <v>140403</v>
      </c>
      <c r="E1000">
        <v>2655</v>
      </c>
      <c r="F1000">
        <v>1516</v>
      </c>
      <c r="G1000" s="1">
        <v>0.57099999999999995</v>
      </c>
      <c r="H1000">
        <v>4</v>
      </c>
      <c r="I1000">
        <v>2637</v>
      </c>
    </row>
    <row r="1001" spans="1:9" x14ac:dyDescent="0.35">
      <c r="A1001" t="s">
        <v>9</v>
      </c>
      <c r="B1001" t="s">
        <v>970</v>
      </c>
      <c r="C1001" t="s">
        <v>1002</v>
      </c>
      <c r="D1001" t="str">
        <f>"140404"</f>
        <v>140404</v>
      </c>
      <c r="E1001">
        <v>4597</v>
      </c>
      <c r="F1001">
        <v>2546</v>
      </c>
      <c r="G1001" s="1">
        <v>0.55379999999999996</v>
      </c>
      <c r="H1001">
        <v>10</v>
      </c>
      <c r="I1001">
        <v>4584</v>
      </c>
    </row>
    <row r="1002" spans="1:9" x14ac:dyDescent="0.35">
      <c r="A1002" t="s">
        <v>9</v>
      </c>
      <c r="B1002" t="s">
        <v>970</v>
      </c>
      <c r="C1002" t="s">
        <v>1003</v>
      </c>
      <c r="D1002" t="str">
        <f>"140405"</f>
        <v>140405</v>
      </c>
      <c r="E1002">
        <v>3828</v>
      </c>
      <c r="F1002">
        <v>2032</v>
      </c>
      <c r="G1002" s="1">
        <v>0.53080000000000005</v>
      </c>
      <c r="H1002">
        <v>4</v>
      </c>
      <c r="I1002">
        <v>3820</v>
      </c>
    </row>
    <row r="1003" spans="1:9" x14ac:dyDescent="0.35">
      <c r="A1003" t="s">
        <v>9</v>
      </c>
      <c r="B1003" t="s">
        <v>970</v>
      </c>
      <c r="C1003" t="s">
        <v>1004</v>
      </c>
      <c r="D1003" t="str">
        <f>"140501"</f>
        <v>140501</v>
      </c>
      <c r="E1003">
        <v>12646</v>
      </c>
      <c r="F1003">
        <v>8145</v>
      </c>
      <c r="G1003" s="1">
        <v>0.64410000000000001</v>
      </c>
      <c r="H1003">
        <v>7</v>
      </c>
      <c r="I1003">
        <v>12489</v>
      </c>
    </row>
    <row r="1004" spans="1:9" x14ac:dyDescent="0.35">
      <c r="A1004" t="s">
        <v>9</v>
      </c>
      <c r="B1004" t="s">
        <v>970</v>
      </c>
      <c r="C1004" t="s">
        <v>1005</v>
      </c>
      <c r="D1004" t="str">
        <f>"140502"</f>
        <v>140502</v>
      </c>
      <c r="E1004">
        <v>3076</v>
      </c>
      <c r="F1004">
        <v>2174</v>
      </c>
      <c r="G1004" s="1">
        <v>0.70679999999999998</v>
      </c>
      <c r="H1004">
        <v>2</v>
      </c>
      <c r="I1004">
        <v>2971</v>
      </c>
    </row>
    <row r="1005" spans="1:9" x14ac:dyDescent="0.35">
      <c r="A1005" t="s">
        <v>9</v>
      </c>
      <c r="B1005" t="s">
        <v>970</v>
      </c>
      <c r="C1005" t="s">
        <v>469</v>
      </c>
      <c r="D1005" t="str">
        <f>"140503"</f>
        <v>140503</v>
      </c>
      <c r="E1005">
        <v>4035</v>
      </c>
      <c r="F1005">
        <v>2316</v>
      </c>
      <c r="G1005" s="1">
        <v>0.57399999999999995</v>
      </c>
      <c r="H1005">
        <v>4</v>
      </c>
      <c r="I1005">
        <v>4007</v>
      </c>
    </row>
    <row r="1006" spans="1:9" x14ac:dyDescent="0.35">
      <c r="A1006" t="s">
        <v>9</v>
      </c>
      <c r="B1006" t="s">
        <v>970</v>
      </c>
      <c r="C1006" t="s">
        <v>1006</v>
      </c>
      <c r="D1006" t="str">
        <f>"140504"</f>
        <v>140504</v>
      </c>
      <c r="E1006">
        <v>37861</v>
      </c>
      <c r="F1006">
        <v>23744</v>
      </c>
      <c r="G1006" s="1">
        <v>0.62709999999999999</v>
      </c>
      <c r="H1006">
        <v>25</v>
      </c>
      <c r="I1006">
        <v>37338</v>
      </c>
    </row>
    <row r="1007" spans="1:9" x14ac:dyDescent="0.35">
      <c r="A1007" t="s">
        <v>9</v>
      </c>
      <c r="B1007" t="s">
        <v>970</v>
      </c>
      <c r="C1007" t="s">
        <v>1007</v>
      </c>
      <c r="D1007" t="str">
        <f>"140505"</f>
        <v>140505</v>
      </c>
      <c r="E1007">
        <v>9894</v>
      </c>
      <c r="F1007">
        <v>6153</v>
      </c>
      <c r="G1007" s="1">
        <v>0.62190000000000001</v>
      </c>
      <c r="H1007">
        <v>7</v>
      </c>
      <c r="I1007">
        <v>9894</v>
      </c>
    </row>
    <row r="1008" spans="1:9" x14ac:dyDescent="0.35">
      <c r="A1008" t="s">
        <v>9</v>
      </c>
      <c r="B1008" t="s">
        <v>970</v>
      </c>
      <c r="C1008" t="s">
        <v>1008</v>
      </c>
      <c r="D1008" t="str">
        <f>"140506"</f>
        <v>140506</v>
      </c>
      <c r="E1008">
        <v>7974</v>
      </c>
      <c r="F1008">
        <v>5421</v>
      </c>
      <c r="G1008" s="1">
        <v>0.67979999999999996</v>
      </c>
      <c r="H1008">
        <v>6</v>
      </c>
      <c r="I1008">
        <v>7860</v>
      </c>
    </row>
    <row r="1009" spans="1:9" x14ac:dyDescent="0.35">
      <c r="A1009" t="s">
        <v>9</v>
      </c>
      <c r="B1009" t="s">
        <v>970</v>
      </c>
      <c r="C1009" t="s">
        <v>1009</v>
      </c>
      <c r="D1009" t="str">
        <f>"140601"</f>
        <v>140601</v>
      </c>
      <c r="E1009">
        <v>5106</v>
      </c>
      <c r="F1009">
        <v>2637</v>
      </c>
      <c r="G1009" s="1">
        <v>0.51649999999999996</v>
      </c>
      <c r="H1009">
        <v>8</v>
      </c>
      <c r="I1009">
        <v>5070</v>
      </c>
    </row>
    <row r="1010" spans="1:9" x14ac:dyDescent="0.35">
      <c r="A1010" t="s">
        <v>9</v>
      </c>
      <c r="B1010" t="s">
        <v>970</v>
      </c>
      <c r="C1010" t="s">
        <v>1010</v>
      </c>
      <c r="D1010" t="str">
        <f>"140602"</f>
        <v>140602</v>
      </c>
      <c r="E1010">
        <v>5835</v>
      </c>
      <c r="F1010">
        <v>2830</v>
      </c>
      <c r="G1010" s="1">
        <v>0.48499999999999999</v>
      </c>
      <c r="H1010">
        <v>5</v>
      </c>
      <c r="I1010">
        <v>5817</v>
      </c>
    </row>
    <row r="1011" spans="1:9" x14ac:dyDescent="0.35">
      <c r="A1011" t="s">
        <v>9</v>
      </c>
      <c r="B1011" t="s">
        <v>970</v>
      </c>
      <c r="C1011" t="s">
        <v>1011</v>
      </c>
      <c r="D1011" t="str">
        <f>"140603"</f>
        <v>140603</v>
      </c>
      <c r="E1011">
        <v>8173</v>
      </c>
      <c r="F1011">
        <v>4926</v>
      </c>
      <c r="G1011" s="1">
        <v>0.60270000000000001</v>
      </c>
      <c r="H1011">
        <v>8</v>
      </c>
      <c r="I1011">
        <v>7936</v>
      </c>
    </row>
    <row r="1012" spans="1:9" x14ac:dyDescent="0.35">
      <c r="A1012" t="s">
        <v>9</v>
      </c>
      <c r="B1012" t="s">
        <v>970</v>
      </c>
      <c r="C1012" t="s">
        <v>1012</v>
      </c>
      <c r="D1012" t="str">
        <f>"140604"</f>
        <v>140604</v>
      </c>
      <c r="E1012">
        <v>2324</v>
      </c>
      <c r="F1012">
        <v>1335</v>
      </c>
      <c r="G1012" s="1">
        <v>0.57440000000000002</v>
      </c>
      <c r="H1012">
        <v>4</v>
      </c>
      <c r="I1012">
        <v>2295</v>
      </c>
    </row>
    <row r="1013" spans="1:9" x14ac:dyDescent="0.35">
      <c r="A1013" t="s">
        <v>9</v>
      </c>
      <c r="B1013" t="s">
        <v>970</v>
      </c>
      <c r="C1013" t="s">
        <v>1013</v>
      </c>
      <c r="D1013" t="str">
        <f>"140605"</f>
        <v>140605</v>
      </c>
      <c r="E1013">
        <v>21665</v>
      </c>
      <c r="F1013">
        <v>13668</v>
      </c>
      <c r="G1013" s="1">
        <v>0.63090000000000002</v>
      </c>
      <c r="H1013">
        <v>19</v>
      </c>
      <c r="I1013">
        <v>20431</v>
      </c>
    </row>
    <row r="1014" spans="1:9" x14ac:dyDescent="0.35">
      <c r="A1014" t="s">
        <v>9</v>
      </c>
      <c r="B1014" t="s">
        <v>970</v>
      </c>
      <c r="C1014" t="s">
        <v>1014</v>
      </c>
      <c r="D1014" t="str">
        <f>"140606"</f>
        <v>140606</v>
      </c>
      <c r="E1014">
        <v>4201</v>
      </c>
      <c r="F1014">
        <v>2233</v>
      </c>
      <c r="G1014" s="1">
        <v>0.53149999999999997</v>
      </c>
      <c r="H1014">
        <v>5</v>
      </c>
      <c r="I1014">
        <v>4168</v>
      </c>
    </row>
    <row r="1015" spans="1:9" x14ac:dyDescent="0.35">
      <c r="A1015" t="s">
        <v>9</v>
      </c>
      <c r="B1015" t="s">
        <v>970</v>
      </c>
      <c r="C1015" t="s">
        <v>1015</v>
      </c>
      <c r="D1015" t="str">
        <f>"140607"</f>
        <v>140607</v>
      </c>
      <c r="E1015">
        <v>6784</v>
      </c>
      <c r="F1015">
        <v>3614</v>
      </c>
      <c r="G1015" s="1">
        <v>0.53269999999999995</v>
      </c>
      <c r="H1015">
        <v>9</v>
      </c>
      <c r="I1015">
        <v>6745</v>
      </c>
    </row>
    <row r="1016" spans="1:9" x14ac:dyDescent="0.35">
      <c r="A1016" t="s">
        <v>9</v>
      </c>
      <c r="B1016" t="s">
        <v>970</v>
      </c>
      <c r="C1016" t="s">
        <v>1016</v>
      </c>
      <c r="D1016" t="str">
        <f>"140608"</f>
        <v>140608</v>
      </c>
      <c r="E1016">
        <v>5896</v>
      </c>
      <c r="F1016">
        <v>3648</v>
      </c>
      <c r="G1016" s="1">
        <v>0.61870000000000003</v>
      </c>
      <c r="H1016">
        <v>5</v>
      </c>
      <c r="I1016">
        <v>5830</v>
      </c>
    </row>
    <row r="1017" spans="1:9" x14ac:dyDescent="0.35">
      <c r="A1017" t="s">
        <v>9</v>
      </c>
      <c r="B1017" t="s">
        <v>970</v>
      </c>
      <c r="C1017" t="s">
        <v>1017</v>
      </c>
      <c r="D1017" t="str">
        <f>"140609"</f>
        <v>140609</v>
      </c>
      <c r="E1017">
        <v>4009</v>
      </c>
      <c r="F1017">
        <v>2603</v>
      </c>
      <c r="G1017" s="1">
        <v>0.64929999999999999</v>
      </c>
      <c r="H1017">
        <v>5</v>
      </c>
      <c r="I1017">
        <v>3852</v>
      </c>
    </row>
    <row r="1018" spans="1:9" x14ac:dyDescent="0.35">
      <c r="A1018" t="s">
        <v>9</v>
      </c>
      <c r="B1018" t="s">
        <v>970</v>
      </c>
      <c r="C1018" t="s">
        <v>1018</v>
      </c>
      <c r="D1018" t="str">
        <f>"140611"</f>
        <v>140611</v>
      </c>
      <c r="E1018">
        <v>14876</v>
      </c>
      <c r="F1018">
        <v>8761</v>
      </c>
      <c r="G1018" s="1">
        <v>0.58889999999999998</v>
      </c>
      <c r="H1018">
        <v>19</v>
      </c>
      <c r="I1018">
        <v>14683</v>
      </c>
    </row>
    <row r="1019" spans="1:9" x14ac:dyDescent="0.35">
      <c r="A1019" t="s">
        <v>9</v>
      </c>
      <c r="B1019" t="s">
        <v>970</v>
      </c>
      <c r="C1019" t="s">
        <v>1019</v>
      </c>
      <c r="D1019" t="str">
        <f>"140701"</f>
        <v>140701</v>
      </c>
      <c r="E1019">
        <v>3879</v>
      </c>
      <c r="F1019">
        <v>2347</v>
      </c>
      <c r="G1019" s="1">
        <v>0.60509999999999997</v>
      </c>
      <c r="H1019">
        <v>5</v>
      </c>
      <c r="I1019">
        <v>3876</v>
      </c>
    </row>
    <row r="1020" spans="1:9" x14ac:dyDescent="0.35">
      <c r="A1020" t="s">
        <v>9</v>
      </c>
      <c r="B1020" t="s">
        <v>970</v>
      </c>
      <c r="C1020" t="s">
        <v>1020</v>
      </c>
      <c r="D1020" t="str">
        <f>"140702"</f>
        <v>140702</v>
      </c>
      <c r="E1020">
        <v>5602</v>
      </c>
      <c r="F1020">
        <v>3417</v>
      </c>
      <c r="G1020" s="1">
        <v>0.61</v>
      </c>
      <c r="H1020">
        <v>9</v>
      </c>
      <c r="I1020">
        <v>5573</v>
      </c>
    </row>
    <row r="1021" spans="1:9" x14ac:dyDescent="0.35">
      <c r="A1021" t="s">
        <v>9</v>
      </c>
      <c r="B1021" t="s">
        <v>970</v>
      </c>
      <c r="C1021" t="s">
        <v>1021</v>
      </c>
      <c r="D1021" t="str">
        <f>"140703"</f>
        <v>140703</v>
      </c>
      <c r="E1021">
        <v>2951</v>
      </c>
      <c r="F1021">
        <v>1680</v>
      </c>
      <c r="G1021" s="1">
        <v>0.56930000000000003</v>
      </c>
      <c r="H1021">
        <v>6</v>
      </c>
      <c r="I1021">
        <v>2933</v>
      </c>
    </row>
    <row r="1022" spans="1:9" x14ac:dyDescent="0.35">
      <c r="A1022" t="s">
        <v>9</v>
      </c>
      <c r="B1022" t="s">
        <v>970</v>
      </c>
      <c r="C1022" t="s">
        <v>1022</v>
      </c>
      <c r="D1022" t="str">
        <f>"140704"</f>
        <v>140704</v>
      </c>
      <c r="E1022">
        <v>3212</v>
      </c>
      <c r="F1022">
        <v>1893</v>
      </c>
      <c r="G1022" s="1">
        <v>0.58940000000000003</v>
      </c>
      <c r="H1022">
        <v>4</v>
      </c>
      <c r="I1022">
        <v>3207</v>
      </c>
    </row>
    <row r="1023" spans="1:9" x14ac:dyDescent="0.35">
      <c r="A1023" t="s">
        <v>9</v>
      </c>
      <c r="B1023" t="s">
        <v>970</v>
      </c>
      <c r="C1023" t="s">
        <v>1023</v>
      </c>
      <c r="D1023" t="str">
        <f>"140705"</f>
        <v>140705</v>
      </c>
      <c r="E1023">
        <v>22046</v>
      </c>
      <c r="F1023">
        <v>12994</v>
      </c>
      <c r="G1023" s="1">
        <v>0.58940000000000003</v>
      </c>
      <c r="H1023">
        <v>26</v>
      </c>
      <c r="I1023">
        <v>21923</v>
      </c>
    </row>
    <row r="1024" spans="1:9" x14ac:dyDescent="0.35">
      <c r="A1024" t="s">
        <v>9</v>
      </c>
      <c r="B1024" t="s">
        <v>970</v>
      </c>
      <c r="C1024" t="s">
        <v>1024</v>
      </c>
      <c r="D1024" t="str">
        <f>"140706"</f>
        <v>140706</v>
      </c>
      <c r="E1024">
        <v>5429</v>
      </c>
      <c r="F1024">
        <v>3155</v>
      </c>
      <c r="G1024" s="1">
        <v>0.58109999999999995</v>
      </c>
      <c r="H1024">
        <v>10</v>
      </c>
      <c r="I1024">
        <v>5352</v>
      </c>
    </row>
    <row r="1025" spans="1:9" x14ac:dyDescent="0.35">
      <c r="A1025" t="s">
        <v>9</v>
      </c>
      <c r="B1025" t="s">
        <v>970</v>
      </c>
      <c r="C1025" t="s">
        <v>1025</v>
      </c>
      <c r="D1025" t="str">
        <f>"140707"</f>
        <v>140707</v>
      </c>
      <c r="E1025">
        <v>3031</v>
      </c>
      <c r="F1025">
        <v>1743</v>
      </c>
      <c r="G1025" s="1">
        <v>0.57509999999999994</v>
      </c>
      <c r="H1025">
        <v>5</v>
      </c>
      <c r="I1025">
        <v>3021</v>
      </c>
    </row>
    <row r="1026" spans="1:9" x14ac:dyDescent="0.35">
      <c r="A1026" t="s">
        <v>9</v>
      </c>
      <c r="B1026" t="s">
        <v>970</v>
      </c>
      <c r="C1026" t="s">
        <v>1026</v>
      </c>
      <c r="D1026" t="str">
        <f>"140801"</f>
        <v>140801</v>
      </c>
      <c r="E1026">
        <v>39647</v>
      </c>
      <c r="F1026">
        <v>25253</v>
      </c>
      <c r="G1026" s="1">
        <v>0.63690000000000002</v>
      </c>
      <c r="H1026">
        <v>23</v>
      </c>
      <c r="I1026">
        <v>38888</v>
      </c>
    </row>
    <row r="1027" spans="1:9" x14ac:dyDescent="0.35">
      <c r="A1027" t="s">
        <v>9</v>
      </c>
      <c r="B1027" t="s">
        <v>970</v>
      </c>
      <c r="C1027" t="s">
        <v>426</v>
      </c>
      <c r="D1027" t="str">
        <f>"140802"</f>
        <v>140802</v>
      </c>
      <c r="E1027">
        <v>15445</v>
      </c>
      <c r="F1027">
        <v>9417</v>
      </c>
      <c r="G1027" s="1">
        <v>0.60970000000000002</v>
      </c>
      <c r="H1027">
        <v>9</v>
      </c>
      <c r="I1027">
        <v>15302</v>
      </c>
    </row>
    <row r="1028" spans="1:9" x14ac:dyDescent="0.35">
      <c r="A1028" t="s">
        <v>9</v>
      </c>
      <c r="B1028" t="s">
        <v>970</v>
      </c>
      <c r="C1028" t="s">
        <v>1027</v>
      </c>
      <c r="D1028" t="str">
        <f>"140803"</f>
        <v>140803</v>
      </c>
      <c r="E1028">
        <v>12243</v>
      </c>
      <c r="F1028">
        <v>8857</v>
      </c>
      <c r="G1028" s="1">
        <v>0.72340000000000004</v>
      </c>
      <c r="H1028">
        <v>15</v>
      </c>
      <c r="I1028">
        <v>12039</v>
      </c>
    </row>
    <row r="1029" spans="1:9" x14ac:dyDescent="0.35">
      <c r="A1029" t="s">
        <v>9</v>
      </c>
      <c r="B1029" t="s">
        <v>970</v>
      </c>
      <c r="C1029" t="s">
        <v>1028</v>
      </c>
      <c r="D1029" t="str">
        <f>"140804"</f>
        <v>140804</v>
      </c>
      <c r="E1029">
        <v>13280</v>
      </c>
      <c r="F1029">
        <v>8442</v>
      </c>
      <c r="G1029" s="1">
        <v>0.63570000000000004</v>
      </c>
      <c r="H1029">
        <v>8</v>
      </c>
      <c r="I1029">
        <v>13017</v>
      </c>
    </row>
    <row r="1030" spans="1:9" x14ac:dyDescent="0.35">
      <c r="A1030" t="s">
        <v>9</v>
      </c>
      <c r="B1030" t="s">
        <v>970</v>
      </c>
      <c r="C1030" t="s">
        <v>1029</v>
      </c>
      <c r="D1030" t="str">
        <f>"140805"</f>
        <v>140805</v>
      </c>
      <c r="E1030">
        <v>13761</v>
      </c>
      <c r="F1030">
        <v>9254</v>
      </c>
      <c r="G1030" s="1">
        <v>0.67249999999999999</v>
      </c>
      <c r="H1030">
        <v>12</v>
      </c>
      <c r="I1030">
        <v>13381</v>
      </c>
    </row>
    <row r="1031" spans="1:9" x14ac:dyDescent="0.35">
      <c r="A1031" t="s">
        <v>9</v>
      </c>
      <c r="B1031" t="s">
        <v>970</v>
      </c>
      <c r="C1031" t="s">
        <v>1030</v>
      </c>
      <c r="D1031" t="str">
        <f>"140901"</f>
        <v>140901</v>
      </c>
      <c r="E1031">
        <v>1884</v>
      </c>
      <c r="F1031">
        <v>986</v>
      </c>
      <c r="G1031" s="1">
        <v>0.52339999999999998</v>
      </c>
      <c r="H1031">
        <v>3</v>
      </c>
      <c r="I1031">
        <v>1873</v>
      </c>
    </row>
    <row r="1032" spans="1:9" x14ac:dyDescent="0.35">
      <c r="A1032" t="s">
        <v>9</v>
      </c>
      <c r="B1032" t="s">
        <v>970</v>
      </c>
      <c r="C1032" t="s">
        <v>1031</v>
      </c>
      <c r="D1032" t="str">
        <f>"140902"</f>
        <v>140902</v>
      </c>
      <c r="E1032">
        <v>4215</v>
      </c>
      <c r="F1032">
        <v>2328</v>
      </c>
      <c r="G1032" s="1">
        <v>0.55230000000000001</v>
      </c>
      <c r="H1032">
        <v>7</v>
      </c>
      <c r="I1032">
        <v>4215</v>
      </c>
    </row>
    <row r="1033" spans="1:9" x14ac:dyDescent="0.35">
      <c r="A1033" t="s">
        <v>9</v>
      </c>
      <c r="B1033" t="s">
        <v>970</v>
      </c>
      <c r="C1033" t="s">
        <v>1032</v>
      </c>
      <c r="D1033" t="str">
        <f>"140903"</f>
        <v>140903</v>
      </c>
      <c r="E1033">
        <v>8194</v>
      </c>
      <c r="F1033">
        <v>4361</v>
      </c>
      <c r="G1033" s="1">
        <v>0.53220000000000001</v>
      </c>
      <c r="H1033">
        <v>12</v>
      </c>
      <c r="I1033">
        <v>8158</v>
      </c>
    </row>
    <row r="1034" spans="1:9" x14ac:dyDescent="0.35">
      <c r="A1034" t="s">
        <v>9</v>
      </c>
      <c r="B1034" t="s">
        <v>970</v>
      </c>
      <c r="C1034" t="s">
        <v>1033</v>
      </c>
      <c r="D1034" t="str">
        <f>"140904"</f>
        <v>140904</v>
      </c>
      <c r="E1034">
        <v>3337</v>
      </c>
      <c r="F1034">
        <v>1896</v>
      </c>
      <c r="G1034" s="1">
        <v>0.56820000000000004</v>
      </c>
      <c r="H1034">
        <v>5</v>
      </c>
      <c r="I1034">
        <v>3326</v>
      </c>
    </row>
    <row r="1035" spans="1:9" x14ac:dyDescent="0.35">
      <c r="A1035" t="s">
        <v>9</v>
      </c>
      <c r="B1035" t="s">
        <v>970</v>
      </c>
      <c r="C1035" t="s">
        <v>1034</v>
      </c>
      <c r="D1035" t="str">
        <f>"140905"</f>
        <v>140905</v>
      </c>
      <c r="E1035">
        <v>4441</v>
      </c>
      <c r="F1035">
        <v>2349</v>
      </c>
      <c r="G1035" s="1">
        <v>0.52890000000000004</v>
      </c>
      <c r="H1035">
        <v>7</v>
      </c>
      <c r="I1035">
        <v>4403</v>
      </c>
    </row>
    <row r="1036" spans="1:9" x14ac:dyDescent="0.35">
      <c r="A1036" t="s">
        <v>9</v>
      </c>
      <c r="B1036" t="s">
        <v>970</v>
      </c>
      <c r="C1036" t="s">
        <v>1035</v>
      </c>
      <c r="D1036" t="str">
        <f>"140906"</f>
        <v>140906</v>
      </c>
      <c r="E1036">
        <v>3803</v>
      </c>
      <c r="F1036">
        <v>1962</v>
      </c>
      <c r="G1036" s="1">
        <v>0.51590000000000003</v>
      </c>
      <c r="H1036">
        <v>10</v>
      </c>
      <c r="I1036">
        <v>3753</v>
      </c>
    </row>
    <row r="1037" spans="1:9" x14ac:dyDescent="0.35">
      <c r="A1037" t="s">
        <v>9</v>
      </c>
      <c r="B1037" t="s">
        <v>970</v>
      </c>
      <c r="C1037" t="s">
        <v>1036</v>
      </c>
      <c r="D1037" t="str">
        <f>"141001"</f>
        <v>141001</v>
      </c>
      <c r="E1037">
        <v>2066</v>
      </c>
      <c r="F1037">
        <v>1160</v>
      </c>
      <c r="G1037" s="1">
        <v>0.5615</v>
      </c>
      <c r="H1037">
        <v>5</v>
      </c>
      <c r="I1037">
        <v>2051</v>
      </c>
    </row>
    <row r="1038" spans="1:9" x14ac:dyDescent="0.35">
      <c r="A1038" t="s">
        <v>9</v>
      </c>
      <c r="B1038" t="s">
        <v>970</v>
      </c>
      <c r="C1038" t="s">
        <v>1037</v>
      </c>
      <c r="D1038" t="str">
        <f>"141002"</f>
        <v>141002</v>
      </c>
      <c r="E1038">
        <v>8067</v>
      </c>
      <c r="F1038">
        <v>4250</v>
      </c>
      <c r="G1038" s="1">
        <v>0.52680000000000005</v>
      </c>
      <c r="H1038">
        <v>13</v>
      </c>
      <c r="I1038">
        <v>8042</v>
      </c>
    </row>
    <row r="1039" spans="1:9" x14ac:dyDescent="0.35">
      <c r="A1039" t="s">
        <v>9</v>
      </c>
      <c r="B1039" t="s">
        <v>970</v>
      </c>
      <c r="C1039" t="s">
        <v>1038</v>
      </c>
      <c r="D1039" t="str">
        <f>"141003"</f>
        <v>141003</v>
      </c>
      <c r="E1039">
        <v>2233</v>
      </c>
      <c r="F1039">
        <v>1425</v>
      </c>
      <c r="G1039" s="1">
        <v>0.63819999999999999</v>
      </c>
      <c r="H1039">
        <v>5</v>
      </c>
      <c r="I1039">
        <v>2222</v>
      </c>
    </row>
    <row r="1040" spans="1:9" x14ac:dyDescent="0.35">
      <c r="A1040" t="s">
        <v>9</v>
      </c>
      <c r="B1040" t="s">
        <v>970</v>
      </c>
      <c r="C1040" t="s">
        <v>1039</v>
      </c>
      <c r="D1040" t="str">
        <f>"141004"</f>
        <v>141004</v>
      </c>
      <c r="E1040">
        <v>3587</v>
      </c>
      <c r="F1040">
        <v>2007</v>
      </c>
      <c r="G1040" s="1">
        <v>0.5595</v>
      </c>
      <c r="H1040">
        <v>9</v>
      </c>
      <c r="I1040">
        <v>3554</v>
      </c>
    </row>
    <row r="1041" spans="1:9" x14ac:dyDescent="0.35">
      <c r="A1041" t="s">
        <v>9</v>
      </c>
      <c r="B1041" t="s">
        <v>970</v>
      </c>
      <c r="C1041" t="s">
        <v>1040</v>
      </c>
      <c r="D1041" t="str">
        <f>"141005"</f>
        <v>141005</v>
      </c>
      <c r="E1041">
        <v>3653</v>
      </c>
      <c r="F1041">
        <v>2184</v>
      </c>
      <c r="G1041" s="1">
        <v>0.59789999999999999</v>
      </c>
      <c r="H1041">
        <v>6</v>
      </c>
      <c r="I1041">
        <v>3570</v>
      </c>
    </row>
    <row r="1042" spans="1:9" x14ac:dyDescent="0.35">
      <c r="A1042" t="s">
        <v>9</v>
      </c>
      <c r="B1042" t="s">
        <v>970</v>
      </c>
      <c r="C1042" t="s">
        <v>1041</v>
      </c>
      <c r="D1042" t="str">
        <f>"141006"</f>
        <v>141006</v>
      </c>
      <c r="E1042">
        <v>3540</v>
      </c>
      <c r="F1042">
        <v>1918</v>
      </c>
      <c r="G1042" s="1">
        <v>0.54179999999999995</v>
      </c>
      <c r="H1042">
        <v>8</v>
      </c>
      <c r="I1042">
        <v>3527</v>
      </c>
    </row>
    <row r="1043" spans="1:9" x14ac:dyDescent="0.35">
      <c r="A1043" t="s">
        <v>9</v>
      </c>
      <c r="B1043" t="s">
        <v>970</v>
      </c>
      <c r="C1043" t="s">
        <v>1042</v>
      </c>
      <c r="D1043" t="str">
        <f>"141101"</f>
        <v>141101</v>
      </c>
      <c r="E1043">
        <v>6860</v>
      </c>
      <c r="F1043">
        <v>3860</v>
      </c>
      <c r="G1043" s="1">
        <v>0.56269999999999998</v>
      </c>
      <c r="H1043">
        <v>5</v>
      </c>
      <c r="I1043">
        <v>6860</v>
      </c>
    </row>
    <row r="1044" spans="1:9" x14ac:dyDescent="0.35">
      <c r="A1044" t="s">
        <v>9</v>
      </c>
      <c r="B1044" t="s">
        <v>970</v>
      </c>
      <c r="C1044" t="s">
        <v>1043</v>
      </c>
      <c r="D1044" t="str">
        <f>"141102"</f>
        <v>141102</v>
      </c>
      <c r="E1044">
        <v>2054</v>
      </c>
      <c r="F1044">
        <v>1222</v>
      </c>
      <c r="G1044" s="1">
        <v>0.59489999999999998</v>
      </c>
      <c r="H1044">
        <v>8</v>
      </c>
      <c r="I1044">
        <v>2034</v>
      </c>
    </row>
    <row r="1045" spans="1:9" x14ac:dyDescent="0.35">
      <c r="A1045" t="s">
        <v>9</v>
      </c>
      <c r="B1045" t="s">
        <v>970</v>
      </c>
      <c r="C1045" t="s">
        <v>1044</v>
      </c>
      <c r="D1045" t="str">
        <f>"141103"</f>
        <v>141103</v>
      </c>
      <c r="E1045">
        <v>3938</v>
      </c>
      <c r="F1045">
        <v>2199</v>
      </c>
      <c r="G1045" s="1">
        <v>0.55840000000000001</v>
      </c>
      <c r="H1045">
        <v>4</v>
      </c>
      <c r="I1045">
        <v>3916</v>
      </c>
    </row>
    <row r="1046" spans="1:9" x14ac:dyDescent="0.35">
      <c r="A1046" t="s">
        <v>9</v>
      </c>
      <c r="B1046" t="s">
        <v>970</v>
      </c>
      <c r="C1046" t="s">
        <v>1045</v>
      </c>
      <c r="D1046" t="str">
        <f>"141104"</f>
        <v>141104</v>
      </c>
      <c r="E1046">
        <v>4735</v>
      </c>
      <c r="F1046">
        <v>2611</v>
      </c>
      <c r="G1046" s="1">
        <v>0.5514</v>
      </c>
      <c r="H1046">
        <v>7</v>
      </c>
      <c r="I1046">
        <v>4690</v>
      </c>
    </row>
    <row r="1047" spans="1:9" x14ac:dyDescent="0.35">
      <c r="A1047" t="s">
        <v>9</v>
      </c>
      <c r="B1047" t="s">
        <v>970</v>
      </c>
      <c r="C1047" t="s">
        <v>1046</v>
      </c>
      <c r="D1047" t="str">
        <f>"141105"</f>
        <v>141105</v>
      </c>
      <c r="E1047">
        <v>1291</v>
      </c>
      <c r="F1047">
        <v>758</v>
      </c>
      <c r="G1047" s="1">
        <v>0.58709999999999996</v>
      </c>
      <c r="H1047">
        <v>4</v>
      </c>
      <c r="I1047">
        <v>1281</v>
      </c>
    </row>
    <row r="1048" spans="1:9" x14ac:dyDescent="0.35">
      <c r="A1048" t="s">
        <v>9</v>
      </c>
      <c r="B1048" t="s">
        <v>970</v>
      </c>
      <c r="C1048" t="s">
        <v>1047</v>
      </c>
      <c r="D1048" t="str">
        <f>"141106"</f>
        <v>141106</v>
      </c>
      <c r="E1048">
        <v>4046</v>
      </c>
      <c r="F1048">
        <v>2270</v>
      </c>
      <c r="G1048" s="1">
        <v>0.56100000000000005</v>
      </c>
      <c r="H1048">
        <v>8</v>
      </c>
      <c r="I1048">
        <v>4013</v>
      </c>
    </row>
    <row r="1049" spans="1:9" x14ac:dyDescent="0.35">
      <c r="A1049" t="s">
        <v>9</v>
      </c>
      <c r="B1049" t="s">
        <v>970</v>
      </c>
      <c r="C1049" t="s">
        <v>1048</v>
      </c>
      <c r="D1049" t="str">
        <f>"141107"</f>
        <v>141107</v>
      </c>
      <c r="E1049">
        <v>3527</v>
      </c>
      <c r="F1049">
        <v>1946</v>
      </c>
      <c r="G1049" s="1">
        <v>0.55169999999999997</v>
      </c>
      <c r="H1049">
        <v>3</v>
      </c>
      <c r="I1049">
        <v>3433</v>
      </c>
    </row>
    <row r="1050" spans="1:9" x14ac:dyDescent="0.35">
      <c r="A1050" t="s">
        <v>9</v>
      </c>
      <c r="B1050" t="s">
        <v>970</v>
      </c>
      <c r="C1050" t="s">
        <v>1049</v>
      </c>
      <c r="D1050" t="str">
        <f>"141108"</f>
        <v>141108</v>
      </c>
      <c r="E1050">
        <v>2151</v>
      </c>
      <c r="F1050">
        <v>1277</v>
      </c>
      <c r="G1050" s="1">
        <v>0.59370000000000001</v>
      </c>
      <c r="H1050">
        <v>3</v>
      </c>
      <c r="I1050">
        <v>2106</v>
      </c>
    </row>
    <row r="1051" spans="1:9" x14ac:dyDescent="0.35">
      <c r="A1051" t="s">
        <v>9</v>
      </c>
      <c r="B1051" t="s">
        <v>970</v>
      </c>
      <c r="C1051" t="s">
        <v>1050</v>
      </c>
      <c r="D1051" t="str">
        <f>"141109"</f>
        <v>141109</v>
      </c>
      <c r="E1051">
        <v>2392</v>
      </c>
      <c r="F1051">
        <v>1407</v>
      </c>
      <c r="G1051" s="1">
        <v>0.58819999999999995</v>
      </c>
      <c r="H1051">
        <v>4</v>
      </c>
      <c r="I1051">
        <v>2370</v>
      </c>
    </row>
    <row r="1052" spans="1:9" x14ac:dyDescent="0.35">
      <c r="A1052" t="s">
        <v>9</v>
      </c>
      <c r="B1052" t="s">
        <v>970</v>
      </c>
      <c r="C1052" t="s">
        <v>1051</v>
      </c>
      <c r="D1052" t="str">
        <f>"141110"</f>
        <v>141110</v>
      </c>
      <c r="E1052">
        <v>2820</v>
      </c>
      <c r="F1052">
        <v>1661</v>
      </c>
      <c r="G1052" s="1">
        <v>0.58899999999999997</v>
      </c>
      <c r="H1052">
        <v>7</v>
      </c>
      <c r="I1052">
        <v>2795</v>
      </c>
    </row>
    <row r="1053" spans="1:9" x14ac:dyDescent="0.35">
      <c r="A1053" t="s">
        <v>9</v>
      </c>
      <c r="B1053" t="s">
        <v>970</v>
      </c>
      <c r="C1053" t="s">
        <v>1052</v>
      </c>
      <c r="D1053" t="str">
        <f>"141201"</f>
        <v>141201</v>
      </c>
      <c r="E1053">
        <v>30308</v>
      </c>
      <c r="F1053">
        <v>19472</v>
      </c>
      <c r="G1053" s="1">
        <v>0.64249999999999996</v>
      </c>
      <c r="H1053">
        <v>21</v>
      </c>
      <c r="I1053">
        <v>30061</v>
      </c>
    </row>
    <row r="1054" spans="1:9" x14ac:dyDescent="0.35">
      <c r="A1054" t="s">
        <v>9</v>
      </c>
      <c r="B1054" t="s">
        <v>970</v>
      </c>
      <c r="C1054" t="s">
        <v>1053</v>
      </c>
      <c r="D1054" t="str">
        <f>"141204"</f>
        <v>141204</v>
      </c>
      <c r="E1054">
        <v>4644</v>
      </c>
      <c r="F1054">
        <v>2889</v>
      </c>
      <c r="G1054" s="1">
        <v>0.62209999999999999</v>
      </c>
      <c r="H1054">
        <v>7</v>
      </c>
      <c r="I1054">
        <v>4611</v>
      </c>
    </row>
    <row r="1055" spans="1:9" x14ac:dyDescent="0.35">
      <c r="A1055" t="s">
        <v>9</v>
      </c>
      <c r="B1055" t="s">
        <v>970</v>
      </c>
      <c r="C1055" t="s">
        <v>1054</v>
      </c>
      <c r="D1055" t="str">
        <f>"141205"</f>
        <v>141205</v>
      </c>
      <c r="E1055">
        <v>8479</v>
      </c>
      <c r="F1055">
        <v>5418</v>
      </c>
      <c r="G1055" s="1">
        <v>0.63900000000000001</v>
      </c>
      <c r="H1055">
        <v>8</v>
      </c>
      <c r="I1055">
        <v>8388</v>
      </c>
    </row>
    <row r="1056" spans="1:9" x14ac:dyDescent="0.35">
      <c r="A1056" t="s">
        <v>9</v>
      </c>
      <c r="B1056" t="s">
        <v>970</v>
      </c>
      <c r="C1056" t="s">
        <v>256</v>
      </c>
      <c r="D1056" t="str">
        <f>"141206"</f>
        <v>141206</v>
      </c>
      <c r="E1056">
        <v>4809</v>
      </c>
      <c r="F1056">
        <v>2835</v>
      </c>
      <c r="G1056" s="1">
        <v>0.58950000000000002</v>
      </c>
      <c r="H1056">
        <v>7</v>
      </c>
      <c r="I1056">
        <v>4756</v>
      </c>
    </row>
    <row r="1057" spans="1:9" x14ac:dyDescent="0.35">
      <c r="A1057" t="s">
        <v>9</v>
      </c>
      <c r="B1057" t="s">
        <v>970</v>
      </c>
      <c r="C1057" t="s">
        <v>1055</v>
      </c>
      <c r="D1057" t="str">
        <f>"141207"</f>
        <v>141207</v>
      </c>
      <c r="E1057">
        <v>13499</v>
      </c>
      <c r="F1057">
        <v>8921</v>
      </c>
      <c r="G1057" s="1">
        <v>0.66090000000000004</v>
      </c>
      <c r="H1057">
        <v>10</v>
      </c>
      <c r="I1057">
        <v>13060</v>
      </c>
    </row>
    <row r="1058" spans="1:9" x14ac:dyDescent="0.35">
      <c r="A1058" t="s">
        <v>9</v>
      </c>
      <c r="B1058" t="s">
        <v>970</v>
      </c>
      <c r="C1058" t="s">
        <v>1056</v>
      </c>
      <c r="D1058" t="str">
        <f>"141208"</f>
        <v>141208</v>
      </c>
      <c r="E1058">
        <v>3919</v>
      </c>
      <c r="F1058">
        <v>2351</v>
      </c>
      <c r="G1058" s="1">
        <v>0.59989999999999999</v>
      </c>
      <c r="H1058">
        <v>5</v>
      </c>
      <c r="I1058">
        <v>3893</v>
      </c>
    </row>
    <row r="1059" spans="1:9" x14ac:dyDescent="0.35">
      <c r="A1059" t="s">
        <v>9</v>
      </c>
      <c r="B1059" t="s">
        <v>970</v>
      </c>
      <c r="C1059" t="s">
        <v>1057</v>
      </c>
      <c r="D1059" t="str">
        <f>"141209"</f>
        <v>141209</v>
      </c>
      <c r="E1059">
        <v>4409</v>
      </c>
      <c r="F1059">
        <v>2585</v>
      </c>
      <c r="G1059" s="1">
        <v>0.58630000000000004</v>
      </c>
      <c r="H1059">
        <v>5</v>
      </c>
      <c r="I1059">
        <v>4371</v>
      </c>
    </row>
    <row r="1060" spans="1:9" x14ac:dyDescent="0.35">
      <c r="A1060" t="s">
        <v>9</v>
      </c>
      <c r="B1060" t="s">
        <v>970</v>
      </c>
      <c r="C1060" t="s">
        <v>1058</v>
      </c>
      <c r="D1060" t="str">
        <f>"141210"</f>
        <v>141210</v>
      </c>
      <c r="E1060">
        <v>4055</v>
      </c>
      <c r="F1060">
        <v>2403</v>
      </c>
      <c r="G1060" s="1">
        <v>0.59260000000000002</v>
      </c>
      <c r="H1060">
        <v>6</v>
      </c>
      <c r="I1060">
        <v>4039</v>
      </c>
    </row>
    <row r="1061" spans="1:9" x14ac:dyDescent="0.35">
      <c r="A1061" t="s">
        <v>9</v>
      </c>
      <c r="B1061" t="s">
        <v>970</v>
      </c>
      <c r="C1061" t="s">
        <v>1059</v>
      </c>
      <c r="D1061" t="str">
        <f>"141211"</f>
        <v>141211</v>
      </c>
      <c r="E1061">
        <v>12124</v>
      </c>
      <c r="F1061">
        <v>7449</v>
      </c>
      <c r="G1061" s="1">
        <v>0.61439999999999995</v>
      </c>
      <c r="H1061">
        <v>11</v>
      </c>
      <c r="I1061">
        <v>12055</v>
      </c>
    </row>
    <row r="1062" spans="1:9" x14ac:dyDescent="0.35">
      <c r="A1062" t="s">
        <v>9</v>
      </c>
      <c r="B1062" t="s">
        <v>970</v>
      </c>
      <c r="C1062" t="s">
        <v>1060</v>
      </c>
      <c r="D1062" t="str">
        <f>"141212"</f>
        <v>141212</v>
      </c>
      <c r="E1062">
        <v>6803</v>
      </c>
      <c r="F1062">
        <v>4191</v>
      </c>
      <c r="G1062" s="1">
        <v>0.61609999999999998</v>
      </c>
      <c r="H1062">
        <v>10</v>
      </c>
      <c r="I1062">
        <v>6748</v>
      </c>
    </row>
    <row r="1063" spans="1:9" x14ac:dyDescent="0.35">
      <c r="A1063" t="s">
        <v>9</v>
      </c>
      <c r="B1063" t="s">
        <v>970</v>
      </c>
      <c r="C1063" t="s">
        <v>1061</v>
      </c>
      <c r="D1063" t="str">
        <f>"141213"</f>
        <v>141213</v>
      </c>
      <c r="E1063">
        <v>5763</v>
      </c>
      <c r="F1063">
        <v>3487</v>
      </c>
      <c r="G1063" s="1">
        <v>0.60509999999999997</v>
      </c>
      <c r="H1063">
        <v>9</v>
      </c>
      <c r="I1063">
        <v>5705</v>
      </c>
    </row>
    <row r="1064" spans="1:9" x14ac:dyDescent="0.35">
      <c r="A1064" t="s">
        <v>9</v>
      </c>
      <c r="B1064" t="s">
        <v>970</v>
      </c>
      <c r="C1064" t="s">
        <v>1062</v>
      </c>
      <c r="D1064" t="str">
        <f>"141214"</f>
        <v>141214</v>
      </c>
      <c r="E1064">
        <v>5456</v>
      </c>
      <c r="F1064">
        <v>3309</v>
      </c>
      <c r="G1064" s="1">
        <v>0.60650000000000004</v>
      </c>
      <c r="H1064">
        <v>9</v>
      </c>
      <c r="I1064">
        <v>5389</v>
      </c>
    </row>
    <row r="1065" spans="1:9" x14ac:dyDescent="0.35">
      <c r="A1065" t="s">
        <v>9</v>
      </c>
      <c r="B1065" t="s">
        <v>970</v>
      </c>
      <c r="C1065" t="s">
        <v>1063</v>
      </c>
      <c r="D1065" t="str">
        <f>"141215"</f>
        <v>141215</v>
      </c>
      <c r="E1065">
        <v>19615</v>
      </c>
      <c r="F1065">
        <v>10428</v>
      </c>
      <c r="G1065" s="1">
        <v>0.53159999999999996</v>
      </c>
      <c r="H1065">
        <v>9</v>
      </c>
      <c r="I1065">
        <v>18275</v>
      </c>
    </row>
    <row r="1066" spans="1:9" x14ac:dyDescent="0.35">
      <c r="A1066" t="s">
        <v>9</v>
      </c>
      <c r="B1066" t="s">
        <v>970</v>
      </c>
      <c r="C1066" t="s">
        <v>1064</v>
      </c>
      <c r="D1066" t="str">
        <f>"141301"</f>
        <v>141301</v>
      </c>
      <c r="E1066">
        <v>22618</v>
      </c>
      <c r="F1066">
        <v>12722</v>
      </c>
      <c r="G1066" s="1">
        <v>0.5625</v>
      </c>
      <c r="H1066">
        <v>14</v>
      </c>
      <c r="I1066">
        <v>22537</v>
      </c>
    </row>
    <row r="1067" spans="1:9" x14ac:dyDescent="0.35">
      <c r="A1067" t="s">
        <v>9</v>
      </c>
      <c r="B1067" t="s">
        <v>970</v>
      </c>
      <c r="C1067" t="s">
        <v>1065</v>
      </c>
      <c r="D1067" t="str">
        <f>"141302"</f>
        <v>141302</v>
      </c>
      <c r="E1067">
        <v>2242</v>
      </c>
      <c r="F1067">
        <v>1161</v>
      </c>
      <c r="G1067" s="1">
        <v>0.51780000000000004</v>
      </c>
      <c r="H1067">
        <v>5</v>
      </c>
      <c r="I1067">
        <v>2211</v>
      </c>
    </row>
    <row r="1068" spans="1:9" x14ac:dyDescent="0.35">
      <c r="A1068" t="s">
        <v>9</v>
      </c>
      <c r="B1068" t="s">
        <v>970</v>
      </c>
      <c r="C1068" t="s">
        <v>1066</v>
      </c>
      <c r="D1068" t="str">
        <f>"141303"</f>
        <v>141303</v>
      </c>
      <c r="E1068">
        <v>3652</v>
      </c>
      <c r="F1068">
        <v>1952</v>
      </c>
      <c r="G1068" s="1">
        <v>0.53449999999999998</v>
      </c>
      <c r="H1068">
        <v>6</v>
      </c>
      <c r="I1068">
        <v>3644</v>
      </c>
    </row>
    <row r="1069" spans="1:9" x14ac:dyDescent="0.35">
      <c r="A1069" t="s">
        <v>9</v>
      </c>
      <c r="B1069" t="s">
        <v>970</v>
      </c>
      <c r="C1069" t="s">
        <v>973</v>
      </c>
      <c r="D1069" t="str">
        <f>"141304"</f>
        <v>141304</v>
      </c>
      <c r="E1069">
        <v>2551</v>
      </c>
      <c r="F1069">
        <v>1245</v>
      </c>
      <c r="G1069" s="1">
        <v>0.48799999999999999</v>
      </c>
      <c r="H1069">
        <v>4</v>
      </c>
      <c r="I1069">
        <v>2489</v>
      </c>
    </row>
    <row r="1070" spans="1:9" x14ac:dyDescent="0.35">
      <c r="A1070" t="s">
        <v>9</v>
      </c>
      <c r="B1070" t="s">
        <v>970</v>
      </c>
      <c r="C1070" t="s">
        <v>1067</v>
      </c>
      <c r="D1070" t="str">
        <f>"141305"</f>
        <v>141305</v>
      </c>
      <c r="E1070">
        <v>5723</v>
      </c>
      <c r="F1070">
        <v>3093</v>
      </c>
      <c r="G1070" s="1">
        <v>0.54049999999999998</v>
      </c>
      <c r="H1070">
        <v>6</v>
      </c>
      <c r="I1070">
        <v>5673</v>
      </c>
    </row>
    <row r="1071" spans="1:9" x14ac:dyDescent="0.35">
      <c r="A1071" t="s">
        <v>9</v>
      </c>
      <c r="B1071" t="s">
        <v>970</v>
      </c>
      <c r="C1071" t="s">
        <v>1068</v>
      </c>
      <c r="D1071" t="str">
        <f>"141306"</f>
        <v>141306</v>
      </c>
      <c r="E1071">
        <v>3601</v>
      </c>
      <c r="F1071">
        <v>1939</v>
      </c>
      <c r="G1071" s="1">
        <v>0.53849999999999998</v>
      </c>
      <c r="H1071">
        <v>5</v>
      </c>
      <c r="I1071">
        <v>3588</v>
      </c>
    </row>
    <row r="1072" spans="1:9" x14ac:dyDescent="0.35">
      <c r="A1072" t="s">
        <v>9</v>
      </c>
      <c r="B1072" t="s">
        <v>970</v>
      </c>
      <c r="C1072" t="s">
        <v>1069</v>
      </c>
      <c r="D1072" t="str">
        <f>"141307"</f>
        <v>141307</v>
      </c>
      <c r="E1072">
        <v>3076</v>
      </c>
      <c r="F1072">
        <v>1522</v>
      </c>
      <c r="G1072" s="1">
        <v>0.49480000000000002</v>
      </c>
      <c r="H1072">
        <v>3</v>
      </c>
      <c r="I1072">
        <v>3056</v>
      </c>
    </row>
    <row r="1073" spans="1:9" x14ac:dyDescent="0.35">
      <c r="A1073" t="s">
        <v>9</v>
      </c>
      <c r="B1073" t="s">
        <v>970</v>
      </c>
      <c r="C1073" t="s">
        <v>1070</v>
      </c>
      <c r="D1073" t="str">
        <f>"141308"</f>
        <v>141308</v>
      </c>
      <c r="E1073">
        <v>3421</v>
      </c>
      <c r="F1073">
        <v>1956</v>
      </c>
      <c r="G1073" s="1">
        <v>0.57179999999999997</v>
      </c>
      <c r="H1073">
        <v>4</v>
      </c>
      <c r="I1073">
        <v>3413</v>
      </c>
    </row>
    <row r="1074" spans="1:9" x14ac:dyDescent="0.35">
      <c r="A1074" t="s">
        <v>9</v>
      </c>
      <c r="B1074" t="s">
        <v>970</v>
      </c>
      <c r="C1074" t="s">
        <v>1071</v>
      </c>
      <c r="D1074" t="str">
        <f>"141309"</f>
        <v>141309</v>
      </c>
      <c r="E1074">
        <v>2956</v>
      </c>
      <c r="F1074">
        <v>1548</v>
      </c>
      <c r="G1074" s="1">
        <v>0.52370000000000005</v>
      </c>
      <c r="H1074">
        <v>5</v>
      </c>
      <c r="I1074">
        <v>2954</v>
      </c>
    </row>
    <row r="1075" spans="1:9" x14ac:dyDescent="0.35">
      <c r="A1075" t="s">
        <v>9</v>
      </c>
      <c r="B1075" t="s">
        <v>970</v>
      </c>
      <c r="C1075" t="s">
        <v>1072</v>
      </c>
      <c r="D1075" t="str">
        <f>"141310"</f>
        <v>141310</v>
      </c>
      <c r="E1075">
        <v>3976</v>
      </c>
      <c r="F1075">
        <v>2259</v>
      </c>
      <c r="G1075" s="1">
        <v>0.56820000000000004</v>
      </c>
      <c r="H1075">
        <v>10</v>
      </c>
      <c r="I1075">
        <v>3944</v>
      </c>
    </row>
    <row r="1076" spans="1:9" x14ac:dyDescent="0.35">
      <c r="A1076" t="s">
        <v>9</v>
      </c>
      <c r="B1076" t="s">
        <v>970</v>
      </c>
      <c r="C1076" t="s">
        <v>1073</v>
      </c>
      <c r="D1076" t="str">
        <f>"141401"</f>
        <v>141401</v>
      </c>
      <c r="E1076">
        <v>21283</v>
      </c>
      <c r="F1076">
        <v>13079</v>
      </c>
      <c r="G1076" s="1">
        <v>0.61450000000000005</v>
      </c>
      <c r="H1076">
        <v>12</v>
      </c>
      <c r="I1076">
        <v>20941</v>
      </c>
    </row>
    <row r="1077" spans="1:9" x14ac:dyDescent="0.35">
      <c r="A1077" t="s">
        <v>9</v>
      </c>
      <c r="B1077" t="s">
        <v>970</v>
      </c>
      <c r="C1077" t="s">
        <v>1074</v>
      </c>
      <c r="D1077" t="str">
        <f>"141402"</f>
        <v>141402</v>
      </c>
      <c r="E1077">
        <v>8181</v>
      </c>
      <c r="F1077">
        <v>5490</v>
      </c>
      <c r="G1077" s="1">
        <v>0.67110000000000003</v>
      </c>
      <c r="H1077">
        <v>6</v>
      </c>
      <c r="I1077">
        <v>8107</v>
      </c>
    </row>
    <row r="1078" spans="1:9" x14ac:dyDescent="0.35">
      <c r="A1078" t="s">
        <v>9</v>
      </c>
      <c r="B1078" t="s">
        <v>970</v>
      </c>
      <c r="C1078" t="s">
        <v>1075</v>
      </c>
      <c r="D1078" t="str">
        <f>"141403"</f>
        <v>141403</v>
      </c>
      <c r="E1078">
        <v>4466</v>
      </c>
      <c r="F1078">
        <v>2670</v>
      </c>
      <c r="G1078" s="1">
        <v>0.59789999999999999</v>
      </c>
      <c r="H1078">
        <v>4</v>
      </c>
      <c r="I1078">
        <v>4420</v>
      </c>
    </row>
    <row r="1079" spans="1:9" x14ac:dyDescent="0.35">
      <c r="A1079" t="s">
        <v>9</v>
      </c>
      <c r="B1079" t="s">
        <v>970</v>
      </c>
      <c r="C1079" t="s">
        <v>1076</v>
      </c>
      <c r="D1079" t="str">
        <f>"141404"</f>
        <v>141404</v>
      </c>
      <c r="E1079">
        <v>14972</v>
      </c>
      <c r="F1079">
        <v>8557</v>
      </c>
      <c r="G1079" s="1">
        <v>0.57150000000000001</v>
      </c>
      <c r="H1079">
        <v>15</v>
      </c>
      <c r="I1079">
        <v>14876</v>
      </c>
    </row>
    <row r="1080" spans="1:9" x14ac:dyDescent="0.35">
      <c r="A1080" t="s">
        <v>9</v>
      </c>
      <c r="B1080" t="s">
        <v>970</v>
      </c>
      <c r="C1080" t="s">
        <v>1077</v>
      </c>
      <c r="D1080" t="str">
        <f>"141405"</f>
        <v>141405</v>
      </c>
      <c r="E1080">
        <v>7338</v>
      </c>
      <c r="F1080">
        <v>4854</v>
      </c>
      <c r="G1080" s="1">
        <v>0.66149999999999998</v>
      </c>
      <c r="H1080">
        <v>10</v>
      </c>
      <c r="I1080">
        <v>7221</v>
      </c>
    </row>
    <row r="1081" spans="1:9" x14ac:dyDescent="0.35">
      <c r="A1081" t="s">
        <v>9</v>
      </c>
      <c r="B1081" t="s">
        <v>970</v>
      </c>
      <c r="C1081" t="s">
        <v>1078</v>
      </c>
      <c r="D1081" t="str">
        <f>"141406"</f>
        <v>141406</v>
      </c>
      <c r="E1081">
        <v>4776</v>
      </c>
      <c r="F1081">
        <v>2731</v>
      </c>
      <c r="G1081" s="1">
        <v>0.57179999999999997</v>
      </c>
      <c r="H1081">
        <v>5</v>
      </c>
      <c r="I1081">
        <v>4748</v>
      </c>
    </row>
    <row r="1082" spans="1:9" x14ac:dyDescent="0.35">
      <c r="A1082" t="s">
        <v>9</v>
      </c>
      <c r="B1082" t="s">
        <v>970</v>
      </c>
      <c r="C1082" t="s">
        <v>1079</v>
      </c>
      <c r="D1082" t="str">
        <f>"141501"</f>
        <v>141501</v>
      </c>
      <c r="E1082">
        <v>4902</v>
      </c>
      <c r="F1082">
        <v>2585</v>
      </c>
      <c r="G1082" s="1">
        <v>0.52729999999999999</v>
      </c>
      <c r="H1082">
        <v>8</v>
      </c>
      <c r="I1082">
        <v>4869</v>
      </c>
    </row>
    <row r="1083" spans="1:9" x14ac:dyDescent="0.35">
      <c r="A1083" t="s">
        <v>9</v>
      </c>
      <c r="B1083" t="s">
        <v>970</v>
      </c>
      <c r="C1083" t="s">
        <v>1080</v>
      </c>
      <c r="D1083" t="str">
        <f>"141502"</f>
        <v>141502</v>
      </c>
      <c r="E1083">
        <v>1833</v>
      </c>
      <c r="F1083">
        <v>948</v>
      </c>
      <c r="G1083" s="1">
        <v>0.51719999999999999</v>
      </c>
      <c r="H1083">
        <v>4</v>
      </c>
      <c r="I1083">
        <v>1819</v>
      </c>
    </row>
    <row r="1084" spans="1:9" x14ac:dyDescent="0.35">
      <c r="A1084" t="s">
        <v>9</v>
      </c>
      <c r="B1084" t="s">
        <v>970</v>
      </c>
      <c r="C1084" t="s">
        <v>1081</v>
      </c>
      <c r="D1084" t="str">
        <f>"141503"</f>
        <v>141503</v>
      </c>
      <c r="E1084">
        <v>3897</v>
      </c>
      <c r="F1084">
        <v>2247</v>
      </c>
      <c r="G1084" s="1">
        <v>0.5766</v>
      </c>
      <c r="H1084">
        <v>8</v>
      </c>
      <c r="I1084">
        <v>3875</v>
      </c>
    </row>
    <row r="1085" spans="1:9" x14ac:dyDescent="0.35">
      <c r="A1085" t="s">
        <v>9</v>
      </c>
      <c r="B1085" t="s">
        <v>970</v>
      </c>
      <c r="C1085" t="s">
        <v>1082</v>
      </c>
      <c r="D1085" t="str">
        <f>"141504"</f>
        <v>141504</v>
      </c>
      <c r="E1085">
        <v>6361</v>
      </c>
      <c r="F1085">
        <v>3423</v>
      </c>
      <c r="G1085" s="1">
        <v>0.53810000000000002</v>
      </c>
      <c r="H1085">
        <v>11</v>
      </c>
      <c r="I1085">
        <v>6335</v>
      </c>
    </row>
    <row r="1086" spans="1:9" x14ac:dyDescent="0.35">
      <c r="A1086" t="s">
        <v>9</v>
      </c>
      <c r="B1086" t="s">
        <v>970</v>
      </c>
      <c r="C1086" t="s">
        <v>1083</v>
      </c>
      <c r="D1086" t="str">
        <f>"141505"</f>
        <v>141505</v>
      </c>
      <c r="E1086">
        <v>8484</v>
      </c>
      <c r="F1086">
        <v>4477</v>
      </c>
      <c r="G1086" s="1">
        <v>0.52769999999999995</v>
      </c>
      <c r="H1086">
        <v>19</v>
      </c>
      <c r="I1086">
        <v>8452</v>
      </c>
    </row>
    <row r="1087" spans="1:9" x14ac:dyDescent="0.35">
      <c r="A1087" t="s">
        <v>9</v>
      </c>
      <c r="B1087" t="s">
        <v>970</v>
      </c>
      <c r="C1087" t="s">
        <v>1084</v>
      </c>
      <c r="D1087" t="str">
        <f>"141506"</f>
        <v>141506</v>
      </c>
      <c r="E1087">
        <v>7318</v>
      </c>
      <c r="F1087">
        <v>3991</v>
      </c>
      <c r="G1087" s="1">
        <v>0.5454</v>
      </c>
      <c r="H1087">
        <v>9</v>
      </c>
      <c r="I1087">
        <v>7306</v>
      </c>
    </row>
    <row r="1088" spans="1:9" x14ac:dyDescent="0.35">
      <c r="A1088" t="s">
        <v>9</v>
      </c>
      <c r="B1088" t="s">
        <v>970</v>
      </c>
      <c r="C1088" t="s">
        <v>1085</v>
      </c>
      <c r="D1088" t="str">
        <f>"141507"</f>
        <v>141507</v>
      </c>
      <c r="E1088">
        <v>6232</v>
      </c>
      <c r="F1088">
        <v>3138</v>
      </c>
      <c r="G1088" s="1">
        <v>0.50349999999999995</v>
      </c>
      <c r="H1088">
        <v>12</v>
      </c>
      <c r="I1088">
        <v>6209</v>
      </c>
    </row>
    <row r="1089" spans="1:9" x14ac:dyDescent="0.35">
      <c r="A1089" t="s">
        <v>9</v>
      </c>
      <c r="B1089" t="s">
        <v>970</v>
      </c>
      <c r="C1089" t="s">
        <v>1086</v>
      </c>
      <c r="D1089" t="str">
        <f>"141508"</f>
        <v>141508</v>
      </c>
      <c r="E1089">
        <v>7737</v>
      </c>
      <c r="F1089">
        <v>3938</v>
      </c>
      <c r="G1089" s="1">
        <v>0.50900000000000001</v>
      </c>
      <c r="H1089">
        <v>14</v>
      </c>
      <c r="I1089">
        <v>7709</v>
      </c>
    </row>
    <row r="1090" spans="1:9" x14ac:dyDescent="0.35">
      <c r="A1090" t="s">
        <v>9</v>
      </c>
      <c r="B1090" t="s">
        <v>970</v>
      </c>
      <c r="C1090" t="s">
        <v>1087</v>
      </c>
      <c r="D1090" t="str">
        <f>"141509"</f>
        <v>141509</v>
      </c>
      <c r="E1090">
        <v>8165</v>
      </c>
      <c r="F1090">
        <v>4519</v>
      </c>
      <c r="G1090" s="1">
        <v>0.55349999999999999</v>
      </c>
      <c r="H1090">
        <v>8</v>
      </c>
      <c r="I1090">
        <v>8160</v>
      </c>
    </row>
    <row r="1091" spans="1:9" x14ac:dyDescent="0.35">
      <c r="A1091" t="s">
        <v>9</v>
      </c>
      <c r="B1091" t="s">
        <v>970</v>
      </c>
      <c r="C1091" t="s">
        <v>1088</v>
      </c>
      <c r="D1091" t="str">
        <f>"141510"</f>
        <v>141510</v>
      </c>
      <c r="E1091">
        <v>8437</v>
      </c>
      <c r="F1091">
        <v>5244</v>
      </c>
      <c r="G1091" s="1">
        <v>0.62150000000000005</v>
      </c>
      <c r="H1091">
        <v>15</v>
      </c>
      <c r="I1091">
        <v>8398</v>
      </c>
    </row>
    <row r="1092" spans="1:9" x14ac:dyDescent="0.35">
      <c r="A1092" t="s">
        <v>9</v>
      </c>
      <c r="B1092" t="s">
        <v>970</v>
      </c>
      <c r="C1092" t="s">
        <v>1089</v>
      </c>
      <c r="D1092" t="str">
        <f>"141511"</f>
        <v>141511</v>
      </c>
      <c r="E1092">
        <v>3632</v>
      </c>
      <c r="F1092">
        <v>2068</v>
      </c>
      <c r="G1092" s="1">
        <v>0.56940000000000002</v>
      </c>
      <c r="H1092">
        <v>7</v>
      </c>
      <c r="I1092">
        <v>3609</v>
      </c>
    </row>
    <row r="1093" spans="1:9" x14ac:dyDescent="0.35">
      <c r="A1093" t="s">
        <v>9</v>
      </c>
      <c r="B1093" t="s">
        <v>970</v>
      </c>
      <c r="C1093" t="s">
        <v>1090</v>
      </c>
      <c r="D1093" t="str">
        <f>"141601"</f>
        <v>141601</v>
      </c>
      <c r="E1093">
        <v>16616</v>
      </c>
      <c r="F1093">
        <v>9134</v>
      </c>
      <c r="G1093" s="1">
        <v>0.54969999999999997</v>
      </c>
      <c r="H1093">
        <v>12</v>
      </c>
      <c r="I1093">
        <v>16389</v>
      </c>
    </row>
    <row r="1094" spans="1:9" x14ac:dyDescent="0.35">
      <c r="A1094" t="s">
        <v>9</v>
      </c>
      <c r="B1094" t="s">
        <v>970</v>
      </c>
      <c r="C1094" t="s">
        <v>1091</v>
      </c>
      <c r="D1094" t="str">
        <f>"141602"</f>
        <v>141602</v>
      </c>
      <c r="E1094">
        <v>3135</v>
      </c>
      <c r="F1094">
        <v>1885</v>
      </c>
      <c r="G1094" s="1">
        <v>0.60129999999999995</v>
      </c>
      <c r="H1094">
        <v>5</v>
      </c>
      <c r="I1094">
        <v>3130</v>
      </c>
    </row>
    <row r="1095" spans="1:9" x14ac:dyDescent="0.35">
      <c r="A1095" t="s">
        <v>9</v>
      </c>
      <c r="B1095" t="s">
        <v>970</v>
      </c>
      <c r="C1095" t="s">
        <v>1092</v>
      </c>
      <c r="D1095" t="str">
        <f>"141603"</f>
        <v>141603</v>
      </c>
      <c r="E1095">
        <v>1990</v>
      </c>
      <c r="F1095">
        <v>1202</v>
      </c>
      <c r="G1095" s="1">
        <v>0.60399999999999998</v>
      </c>
      <c r="H1095">
        <v>5</v>
      </c>
      <c r="I1095">
        <v>1913</v>
      </c>
    </row>
    <row r="1096" spans="1:9" x14ac:dyDescent="0.35">
      <c r="A1096" t="s">
        <v>9</v>
      </c>
      <c r="B1096" t="s">
        <v>970</v>
      </c>
      <c r="C1096" t="s">
        <v>1093</v>
      </c>
      <c r="D1096" t="str">
        <f>"141604"</f>
        <v>141604</v>
      </c>
      <c r="E1096">
        <v>2291</v>
      </c>
      <c r="F1096">
        <v>1343</v>
      </c>
      <c r="G1096" s="1">
        <v>0.58620000000000005</v>
      </c>
      <c r="H1096">
        <v>3</v>
      </c>
      <c r="I1096">
        <v>2238</v>
      </c>
    </row>
    <row r="1097" spans="1:9" x14ac:dyDescent="0.35">
      <c r="A1097" t="s">
        <v>9</v>
      </c>
      <c r="B1097" t="s">
        <v>970</v>
      </c>
      <c r="C1097" t="s">
        <v>1094</v>
      </c>
      <c r="D1097" t="str">
        <f>"141605"</f>
        <v>141605</v>
      </c>
      <c r="E1097">
        <v>8755</v>
      </c>
      <c r="F1097">
        <v>5185</v>
      </c>
      <c r="G1097" s="1">
        <v>0.59219999999999995</v>
      </c>
      <c r="H1097">
        <v>15</v>
      </c>
      <c r="I1097">
        <v>8734</v>
      </c>
    </row>
    <row r="1098" spans="1:9" x14ac:dyDescent="0.35">
      <c r="A1098" t="s">
        <v>9</v>
      </c>
      <c r="B1098" t="s">
        <v>970</v>
      </c>
      <c r="C1098" t="s">
        <v>1095</v>
      </c>
      <c r="D1098" t="str">
        <f>"141606"</f>
        <v>141606</v>
      </c>
      <c r="E1098">
        <v>2080</v>
      </c>
      <c r="F1098">
        <v>1346</v>
      </c>
      <c r="G1098" s="1">
        <v>0.64710000000000001</v>
      </c>
      <c r="H1098">
        <v>5</v>
      </c>
      <c r="I1098">
        <v>2056</v>
      </c>
    </row>
    <row r="1099" spans="1:9" x14ac:dyDescent="0.35">
      <c r="A1099" t="s">
        <v>9</v>
      </c>
      <c r="B1099" t="s">
        <v>970</v>
      </c>
      <c r="C1099" t="s">
        <v>1096</v>
      </c>
      <c r="D1099" t="str">
        <f>"141607"</f>
        <v>141607</v>
      </c>
      <c r="E1099">
        <v>9737</v>
      </c>
      <c r="F1099">
        <v>5236</v>
      </c>
      <c r="G1099" s="1">
        <v>0.53769999999999996</v>
      </c>
      <c r="H1099">
        <v>23</v>
      </c>
      <c r="I1099">
        <v>9663</v>
      </c>
    </row>
    <row r="1100" spans="1:9" x14ac:dyDescent="0.35">
      <c r="A1100" t="s">
        <v>9</v>
      </c>
      <c r="B1100" t="s">
        <v>970</v>
      </c>
      <c r="C1100" t="s">
        <v>1097</v>
      </c>
      <c r="D1100" t="str">
        <f>"141608"</f>
        <v>141608</v>
      </c>
      <c r="E1100">
        <v>2783</v>
      </c>
      <c r="F1100">
        <v>1581</v>
      </c>
      <c r="G1100" s="1">
        <v>0.56810000000000005</v>
      </c>
      <c r="H1100">
        <v>7</v>
      </c>
      <c r="I1100">
        <v>2781</v>
      </c>
    </row>
    <row r="1101" spans="1:9" x14ac:dyDescent="0.35">
      <c r="A1101" t="s">
        <v>9</v>
      </c>
      <c r="B1101" t="s">
        <v>970</v>
      </c>
      <c r="C1101" t="s">
        <v>1098</v>
      </c>
      <c r="D1101" t="str">
        <f>"141609"</f>
        <v>141609</v>
      </c>
      <c r="E1101">
        <v>1269</v>
      </c>
      <c r="F1101">
        <v>867</v>
      </c>
      <c r="G1101" s="1">
        <v>0.68320000000000003</v>
      </c>
      <c r="H1101">
        <v>2</v>
      </c>
      <c r="I1101">
        <v>1258</v>
      </c>
    </row>
    <row r="1102" spans="1:9" x14ac:dyDescent="0.35">
      <c r="A1102" t="s">
        <v>9</v>
      </c>
      <c r="B1102" t="s">
        <v>970</v>
      </c>
      <c r="C1102" t="s">
        <v>1099</v>
      </c>
      <c r="D1102" t="str">
        <f>"141610"</f>
        <v>141610</v>
      </c>
      <c r="E1102">
        <v>3280</v>
      </c>
      <c r="F1102">
        <v>1957</v>
      </c>
      <c r="G1102" s="1">
        <v>0.59660000000000002</v>
      </c>
      <c r="H1102">
        <v>8</v>
      </c>
      <c r="I1102">
        <v>3254</v>
      </c>
    </row>
    <row r="1103" spans="1:9" x14ac:dyDescent="0.35">
      <c r="A1103" t="s">
        <v>9</v>
      </c>
      <c r="B1103" t="s">
        <v>970</v>
      </c>
      <c r="C1103" t="s">
        <v>1100</v>
      </c>
      <c r="D1103" t="str">
        <f>"141611"</f>
        <v>141611</v>
      </c>
      <c r="E1103">
        <v>2767</v>
      </c>
      <c r="F1103">
        <v>1609</v>
      </c>
      <c r="G1103" s="1">
        <v>0.58150000000000002</v>
      </c>
      <c r="H1103">
        <v>5</v>
      </c>
      <c r="I1103">
        <v>2764</v>
      </c>
    </row>
    <row r="1104" spans="1:9" x14ac:dyDescent="0.35">
      <c r="A1104" t="s">
        <v>9</v>
      </c>
      <c r="B1104" t="s">
        <v>970</v>
      </c>
      <c r="C1104" t="s">
        <v>1101</v>
      </c>
      <c r="D1104" t="str">
        <f>"141701"</f>
        <v>141701</v>
      </c>
      <c r="E1104">
        <v>15760</v>
      </c>
      <c r="F1104">
        <v>10657</v>
      </c>
      <c r="G1104" s="1">
        <v>0.67620000000000002</v>
      </c>
      <c r="H1104">
        <v>9</v>
      </c>
      <c r="I1104">
        <v>15301</v>
      </c>
    </row>
    <row r="1105" spans="1:9" x14ac:dyDescent="0.35">
      <c r="A1105" t="s">
        <v>9</v>
      </c>
      <c r="B1105" t="s">
        <v>970</v>
      </c>
      <c r="C1105" t="s">
        <v>1102</v>
      </c>
      <c r="D1105" t="str">
        <f>"141702"</f>
        <v>141702</v>
      </c>
      <c r="E1105">
        <v>33555</v>
      </c>
      <c r="F1105">
        <v>21201</v>
      </c>
      <c r="G1105" s="1">
        <v>0.63180000000000003</v>
      </c>
      <c r="H1105">
        <v>26</v>
      </c>
      <c r="I1105">
        <v>33083</v>
      </c>
    </row>
    <row r="1106" spans="1:9" x14ac:dyDescent="0.35">
      <c r="A1106" t="s">
        <v>9</v>
      </c>
      <c r="B1106" t="s">
        <v>970</v>
      </c>
      <c r="C1106" t="s">
        <v>1103</v>
      </c>
      <c r="D1106" t="str">
        <f>"141703"</f>
        <v>141703</v>
      </c>
      <c r="E1106">
        <v>9051</v>
      </c>
      <c r="F1106">
        <v>5679</v>
      </c>
      <c r="G1106" s="1">
        <v>0.62739999999999996</v>
      </c>
      <c r="H1106">
        <v>12</v>
      </c>
      <c r="I1106">
        <v>9000</v>
      </c>
    </row>
    <row r="1107" spans="1:9" x14ac:dyDescent="0.35">
      <c r="A1107" t="s">
        <v>9</v>
      </c>
      <c r="B1107" t="s">
        <v>970</v>
      </c>
      <c r="C1107" t="s">
        <v>1104</v>
      </c>
      <c r="D1107" t="str">
        <f>"141704"</f>
        <v>141704</v>
      </c>
      <c r="E1107">
        <v>12215</v>
      </c>
      <c r="F1107">
        <v>7432</v>
      </c>
      <c r="G1107" s="1">
        <v>0.60840000000000005</v>
      </c>
      <c r="H1107">
        <v>13</v>
      </c>
      <c r="I1107">
        <v>12178</v>
      </c>
    </row>
    <row r="1108" spans="1:9" x14ac:dyDescent="0.35">
      <c r="A1108" t="s">
        <v>9</v>
      </c>
      <c r="B1108" t="s">
        <v>970</v>
      </c>
      <c r="C1108" t="s">
        <v>1105</v>
      </c>
      <c r="D1108" t="str">
        <f>"141705"</f>
        <v>141705</v>
      </c>
      <c r="E1108">
        <v>6346</v>
      </c>
      <c r="F1108">
        <v>4071</v>
      </c>
      <c r="G1108" s="1">
        <v>0.64149999999999996</v>
      </c>
      <c r="H1108">
        <v>7</v>
      </c>
      <c r="I1108">
        <v>6300</v>
      </c>
    </row>
    <row r="1109" spans="1:9" x14ac:dyDescent="0.35">
      <c r="A1109" t="s">
        <v>9</v>
      </c>
      <c r="B1109" t="s">
        <v>970</v>
      </c>
      <c r="C1109" t="s">
        <v>1106</v>
      </c>
      <c r="D1109" t="str">
        <f>"141706"</f>
        <v>141706</v>
      </c>
      <c r="E1109">
        <v>2883</v>
      </c>
      <c r="F1109">
        <v>1853</v>
      </c>
      <c r="G1109" s="1">
        <v>0.64270000000000005</v>
      </c>
      <c r="H1109">
        <v>5</v>
      </c>
      <c r="I1109">
        <v>2845</v>
      </c>
    </row>
    <row r="1110" spans="1:9" x14ac:dyDescent="0.35">
      <c r="A1110" t="s">
        <v>9</v>
      </c>
      <c r="B1110" t="s">
        <v>970</v>
      </c>
      <c r="C1110" t="s">
        <v>1107</v>
      </c>
      <c r="D1110" t="str">
        <f>"141707"</f>
        <v>141707</v>
      </c>
      <c r="E1110">
        <v>4997</v>
      </c>
      <c r="F1110">
        <v>3104</v>
      </c>
      <c r="G1110" s="1">
        <v>0.62119999999999997</v>
      </c>
      <c r="H1110">
        <v>7</v>
      </c>
      <c r="I1110">
        <v>4955</v>
      </c>
    </row>
    <row r="1111" spans="1:9" x14ac:dyDescent="0.35">
      <c r="A1111" t="s">
        <v>9</v>
      </c>
      <c r="B1111" t="s">
        <v>970</v>
      </c>
      <c r="C1111" t="s">
        <v>1108</v>
      </c>
      <c r="D1111" t="str">
        <f>"141708"</f>
        <v>141708</v>
      </c>
      <c r="E1111">
        <v>11085</v>
      </c>
      <c r="F1111">
        <v>7751</v>
      </c>
      <c r="G1111" s="1">
        <v>0.69920000000000004</v>
      </c>
      <c r="H1111">
        <v>21</v>
      </c>
      <c r="I1111">
        <v>10852</v>
      </c>
    </row>
    <row r="1112" spans="1:9" x14ac:dyDescent="0.35">
      <c r="A1112" t="s">
        <v>9</v>
      </c>
      <c r="B1112" t="s">
        <v>970</v>
      </c>
      <c r="C1112" t="s">
        <v>1109</v>
      </c>
      <c r="D1112" t="str">
        <f>"141801"</f>
        <v>141801</v>
      </c>
      <c r="E1112">
        <v>20538</v>
      </c>
      <c r="F1112">
        <v>12509</v>
      </c>
      <c r="G1112" s="1">
        <v>0.60909999999999997</v>
      </c>
      <c r="H1112">
        <v>18</v>
      </c>
      <c r="I1112">
        <v>20171</v>
      </c>
    </row>
    <row r="1113" spans="1:9" x14ac:dyDescent="0.35">
      <c r="A1113" t="s">
        <v>9</v>
      </c>
      <c r="B1113" t="s">
        <v>970</v>
      </c>
      <c r="C1113" t="s">
        <v>1110</v>
      </c>
      <c r="D1113" t="str">
        <f>"141802"</f>
        <v>141802</v>
      </c>
      <c r="E1113">
        <v>18457</v>
      </c>
      <c r="F1113">
        <v>9959</v>
      </c>
      <c r="G1113" s="1">
        <v>0.53959999999999997</v>
      </c>
      <c r="H1113">
        <v>16</v>
      </c>
      <c r="I1113">
        <v>18051</v>
      </c>
    </row>
    <row r="1114" spans="1:9" x14ac:dyDescent="0.35">
      <c r="A1114" t="s">
        <v>9</v>
      </c>
      <c r="B1114" t="s">
        <v>970</v>
      </c>
      <c r="C1114" t="s">
        <v>1111</v>
      </c>
      <c r="D1114" t="str">
        <f>"141803"</f>
        <v>141803</v>
      </c>
      <c r="E1114">
        <v>23658</v>
      </c>
      <c r="F1114">
        <v>15093</v>
      </c>
      <c r="G1114" s="1">
        <v>0.63800000000000001</v>
      </c>
      <c r="H1114">
        <v>16</v>
      </c>
      <c r="I1114">
        <v>23452</v>
      </c>
    </row>
    <row r="1115" spans="1:9" x14ac:dyDescent="0.35">
      <c r="A1115" t="s">
        <v>9</v>
      </c>
      <c r="B1115" t="s">
        <v>970</v>
      </c>
      <c r="C1115" t="s">
        <v>1112</v>
      </c>
      <c r="D1115" t="str">
        <f>"141804"</f>
        <v>141804</v>
      </c>
      <c r="E1115">
        <v>63691</v>
      </c>
      <c r="F1115">
        <v>41096</v>
      </c>
      <c r="G1115" s="1">
        <v>0.6452</v>
      </c>
      <c r="H1115">
        <v>44</v>
      </c>
      <c r="I1115">
        <v>62473</v>
      </c>
    </row>
    <row r="1116" spans="1:9" x14ac:dyDescent="0.35">
      <c r="A1116" t="s">
        <v>9</v>
      </c>
      <c r="B1116" t="s">
        <v>970</v>
      </c>
      <c r="C1116" t="s">
        <v>1113</v>
      </c>
      <c r="D1116" t="str">
        <f>"141805"</f>
        <v>141805</v>
      </c>
      <c r="E1116">
        <v>9387</v>
      </c>
      <c r="F1116">
        <v>6046</v>
      </c>
      <c r="G1116" s="1">
        <v>0.64410000000000001</v>
      </c>
      <c r="H1116">
        <v>9</v>
      </c>
      <c r="I1116">
        <v>9261</v>
      </c>
    </row>
    <row r="1117" spans="1:9" x14ac:dyDescent="0.35">
      <c r="A1117" t="s">
        <v>9</v>
      </c>
      <c r="B1117" t="s">
        <v>970</v>
      </c>
      <c r="C1117" t="s">
        <v>1114</v>
      </c>
      <c r="D1117" t="str">
        <f>"141806"</f>
        <v>141806</v>
      </c>
      <c r="E1117">
        <v>9210</v>
      </c>
      <c r="F1117">
        <v>5890</v>
      </c>
      <c r="G1117" s="1">
        <v>0.63949999999999996</v>
      </c>
      <c r="H1117">
        <v>9</v>
      </c>
      <c r="I1117">
        <v>9083</v>
      </c>
    </row>
    <row r="1118" spans="1:9" x14ac:dyDescent="0.35">
      <c r="A1118" t="s">
        <v>9</v>
      </c>
      <c r="B1118" t="s">
        <v>970</v>
      </c>
      <c r="C1118" t="s">
        <v>1115</v>
      </c>
      <c r="D1118" t="str">
        <f>"141901"</f>
        <v>141901</v>
      </c>
      <c r="E1118">
        <v>6874</v>
      </c>
      <c r="F1118">
        <v>3652</v>
      </c>
      <c r="G1118" s="1">
        <v>0.53129999999999999</v>
      </c>
      <c r="H1118">
        <v>6</v>
      </c>
      <c r="I1118">
        <v>6843</v>
      </c>
    </row>
    <row r="1119" spans="1:9" x14ac:dyDescent="0.35">
      <c r="A1119" t="s">
        <v>9</v>
      </c>
      <c r="B1119" t="s">
        <v>970</v>
      </c>
      <c r="C1119" t="s">
        <v>1116</v>
      </c>
      <c r="D1119" t="str">
        <f>"141902"</f>
        <v>141902</v>
      </c>
      <c r="E1119">
        <v>6144</v>
      </c>
      <c r="F1119">
        <v>3481</v>
      </c>
      <c r="G1119" s="1">
        <v>0.56659999999999999</v>
      </c>
      <c r="H1119">
        <v>14</v>
      </c>
      <c r="I1119">
        <v>6131</v>
      </c>
    </row>
    <row r="1120" spans="1:9" x14ac:dyDescent="0.35">
      <c r="A1120" t="s">
        <v>9</v>
      </c>
      <c r="B1120" t="s">
        <v>970</v>
      </c>
      <c r="C1120" t="s">
        <v>1117</v>
      </c>
      <c r="D1120" t="str">
        <f>"141903"</f>
        <v>141903</v>
      </c>
      <c r="E1120">
        <v>6342</v>
      </c>
      <c r="F1120">
        <v>3381</v>
      </c>
      <c r="G1120" s="1">
        <v>0.53310000000000002</v>
      </c>
      <c r="H1120">
        <v>12</v>
      </c>
      <c r="I1120">
        <v>6324</v>
      </c>
    </row>
    <row r="1121" spans="1:9" x14ac:dyDescent="0.35">
      <c r="A1121" t="s">
        <v>9</v>
      </c>
      <c r="B1121" t="s">
        <v>970</v>
      </c>
      <c r="C1121" t="s">
        <v>1118</v>
      </c>
      <c r="D1121" t="str">
        <f>"141904"</f>
        <v>141904</v>
      </c>
      <c r="E1121">
        <v>4240</v>
      </c>
      <c r="F1121">
        <v>2247</v>
      </c>
      <c r="G1121" s="1">
        <v>0.53</v>
      </c>
      <c r="H1121">
        <v>7</v>
      </c>
      <c r="I1121">
        <v>4231</v>
      </c>
    </row>
    <row r="1122" spans="1:9" x14ac:dyDescent="0.35">
      <c r="A1122" t="s">
        <v>9</v>
      </c>
      <c r="B1122" t="s">
        <v>970</v>
      </c>
      <c r="C1122" t="s">
        <v>1119</v>
      </c>
      <c r="D1122" t="str">
        <f>"141905"</f>
        <v>141905</v>
      </c>
      <c r="E1122">
        <v>5917</v>
      </c>
      <c r="F1122">
        <v>2869</v>
      </c>
      <c r="G1122" s="1">
        <v>0.4849</v>
      </c>
      <c r="H1122">
        <v>6</v>
      </c>
      <c r="I1122">
        <v>5807</v>
      </c>
    </row>
    <row r="1123" spans="1:9" x14ac:dyDescent="0.35">
      <c r="A1123" t="s">
        <v>9</v>
      </c>
      <c r="B1123" t="s">
        <v>970</v>
      </c>
      <c r="C1123" t="s">
        <v>1120</v>
      </c>
      <c r="D1123" t="str">
        <f>"141906"</f>
        <v>141906</v>
      </c>
      <c r="E1123">
        <v>8577</v>
      </c>
      <c r="F1123">
        <v>4856</v>
      </c>
      <c r="G1123" s="1">
        <v>0.56620000000000004</v>
      </c>
      <c r="H1123">
        <v>12</v>
      </c>
      <c r="I1123">
        <v>8539</v>
      </c>
    </row>
    <row r="1124" spans="1:9" x14ac:dyDescent="0.35">
      <c r="A1124" t="s">
        <v>9</v>
      </c>
      <c r="B1124" t="s">
        <v>970</v>
      </c>
      <c r="C1124" t="s">
        <v>1121</v>
      </c>
      <c r="D1124" t="str">
        <f>"141907"</f>
        <v>141907</v>
      </c>
      <c r="E1124">
        <v>4282</v>
      </c>
      <c r="F1124">
        <v>2594</v>
      </c>
      <c r="G1124" s="1">
        <v>0.60580000000000001</v>
      </c>
      <c r="H1124">
        <v>7</v>
      </c>
      <c r="I1124">
        <v>4245</v>
      </c>
    </row>
    <row r="1125" spans="1:9" x14ac:dyDescent="0.35">
      <c r="A1125" t="s">
        <v>9</v>
      </c>
      <c r="B1125" t="s">
        <v>970</v>
      </c>
      <c r="C1125" t="s">
        <v>1122</v>
      </c>
      <c r="D1125" t="str">
        <f>"141908"</f>
        <v>141908</v>
      </c>
      <c r="E1125">
        <v>4466</v>
      </c>
      <c r="F1125">
        <v>2330</v>
      </c>
      <c r="G1125" s="1">
        <v>0.52170000000000005</v>
      </c>
      <c r="H1125">
        <v>5</v>
      </c>
      <c r="I1125">
        <v>4454</v>
      </c>
    </row>
    <row r="1126" spans="1:9" x14ac:dyDescent="0.35">
      <c r="A1126" t="s">
        <v>9</v>
      </c>
      <c r="B1126" t="s">
        <v>970</v>
      </c>
      <c r="C1126" t="s">
        <v>1123</v>
      </c>
      <c r="D1126" t="str">
        <f>"141909"</f>
        <v>141909</v>
      </c>
      <c r="E1126">
        <v>3097</v>
      </c>
      <c r="F1126">
        <v>1732</v>
      </c>
      <c r="G1126" s="1">
        <v>0.55930000000000002</v>
      </c>
      <c r="H1126">
        <v>5</v>
      </c>
      <c r="I1126">
        <v>3052</v>
      </c>
    </row>
    <row r="1127" spans="1:9" x14ac:dyDescent="0.35">
      <c r="A1127" t="s">
        <v>9</v>
      </c>
      <c r="B1127" t="s">
        <v>970</v>
      </c>
      <c r="C1127" t="s">
        <v>1124</v>
      </c>
      <c r="D1127" t="str">
        <f>"141910"</f>
        <v>141910</v>
      </c>
      <c r="E1127">
        <v>6541</v>
      </c>
      <c r="F1127">
        <v>3805</v>
      </c>
      <c r="G1127" s="1">
        <v>0.58169999999999999</v>
      </c>
      <c r="H1127">
        <v>7</v>
      </c>
      <c r="I1127">
        <v>6518</v>
      </c>
    </row>
    <row r="1128" spans="1:9" x14ac:dyDescent="0.35">
      <c r="A1128" t="s">
        <v>9</v>
      </c>
      <c r="B1128" t="s">
        <v>970</v>
      </c>
      <c r="C1128" t="s">
        <v>570</v>
      </c>
      <c r="D1128" t="str">
        <f>"141911"</f>
        <v>141911</v>
      </c>
      <c r="E1128">
        <v>3391</v>
      </c>
      <c r="F1128">
        <v>1897</v>
      </c>
      <c r="G1128" s="1">
        <v>0.55940000000000001</v>
      </c>
      <c r="H1128">
        <v>6</v>
      </c>
      <c r="I1128">
        <v>3378</v>
      </c>
    </row>
    <row r="1129" spans="1:9" x14ac:dyDescent="0.35">
      <c r="A1129" t="s">
        <v>9</v>
      </c>
      <c r="B1129" t="s">
        <v>970</v>
      </c>
      <c r="C1129" t="s">
        <v>1125</v>
      </c>
      <c r="D1129" t="str">
        <f>"141912"</f>
        <v>141912</v>
      </c>
      <c r="E1129">
        <v>6440</v>
      </c>
      <c r="F1129">
        <v>4208</v>
      </c>
      <c r="G1129" s="1">
        <v>0.65339999999999998</v>
      </c>
      <c r="H1129">
        <v>14</v>
      </c>
      <c r="I1129">
        <v>6412</v>
      </c>
    </row>
    <row r="1130" spans="1:9" x14ac:dyDescent="0.35">
      <c r="A1130" t="s">
        <v>9</v>
      </c>
      <c r="B1130" t="s">
        <v>970</v>
      </c>
      <c r="C1130" t="s">
        <v>1126</v>
      </c>
      <c r="D1130" t="str">
        <f>"141913"</f>
        <v>141913</v>
      </c>
      <c r="E1130">
        <v>8967</v>
      </c>
      <c r="F1130">
        <v>5552</v>
      </c>
      <c r="G1130" s="1">
        <v>0.61919999999999997</v>
      </c>
      <c r="H1130">
        <v>11</v>
      </c>
      <c r="I1130">
        <v>8951</v>
      </c>
    </row>
    <row r="1131" spans="1:9" x14ac:dyDescent="0.35">
      <c r="A1131" t="s">
        <v>9</v>
      </c>
      <c r="B1131" t="s">
        <v>970</v>
      </c>
      <c r="C1131" t="s">
        <v>1127</v>
      </c>
      <c r="D1131" t="str">
        <f>"141914"</f>
        <v>141914</v>
      </c>
      <c r="E1131">
        <v>5486</v>
      </c>
      <c r="F1131">
        <v>2846</v>
      </c>
      <c r="G1131" s="1">
        <v>0.51880000000000004</v>
      </c>
      <c r="H1131">
        <v>7</v>
      </c>
      <c r="I1131">
        <v>5480</v>
      </c>
    </row>
    <row r="1132" spans="1:9" x14ac:dyDescent="0.35">
      <c r="A1132" t="s">
        <v>9</v>
      </c>
      <c r="B1132" t="s">
        <v>970</v>
      </c>
      <c r="C1132" t="s">
        <v>1128</v>
      </c>
      <c r="D1132" t="str">
        <f>"141915"</f>
        <v>141915</v>
      </c>
      <c r="E1132">
        <v>4234</v>
      </c>
      <c r="F1132">
        <v>2301</v>
      </c>
      <c r="G1132" s="1">
        <v>0.54349999999999998</v>
      </c>
      <c r="H1132">
        <v>9</v>
      </c>
      <c r="I1132">
        <v>4225</v>
      </c>
    </row>
    <row r="1133" spans="1:9" x14ac:dyDescent="0.35">
      <c r="A1133" t="s">
        <v>9</v>
      </c>
      <c r="B1133" t="s">
        <v>970</v>
      </c>
      <c r="C1133" t="s">
        <v>1129</v>
      </c>
      <c r="D1133" t="str">
        <f>"142001"</f>
        <v>142001</v>
      </c>
      <c r="E1133">
        <v>16191</v>
      </c>
      <c r="F1133">
        <v>9947</v>
      </c>
      <c r="G1133" s="1">
        <v>0.61439999999999995</v>
      </c>
      <c r="H1133">
        <v>18</v>
      </c>
      <c r="I1133">
        <v>15999</v>
      </c>
    </row>
    <row r="1134" spans="1:9" x14ac:dyDescent="0.35">
      <c r="A1134" t="s">
        <v>9</v>
      </c>
      <c r="B1134" t="s">
        <v>970</v>
      </c>
      <c r="C1134" t="s">
        <v>1130</v>
      </c>
      <c r="D1134" t="str">
        <f>"142002"</f>
        <v>142002</v>
      </c>
      <c r="E1134">
        <v>3249</v>
      </c>
      <c r="F1134">
        <v>1754</v>
      </c>
      <c r="G1134" s="1">
        <v>0.53990000000000005</v>
      </c>
      <c r="H1134">
        <v>3</v>
      </c>
      <c r="I1134">
        <v>3237</v>
      </c>
    </row>
    <row r="1135" spans="1:9" x14ac:dyDescent="0.35">
      <c r="A1135" t="s">
        <v>9</v>
      </c>
      <c r="B1135" t="s">
        <v>970</v>
      </c>
      <c r="C1135" t="s">
        <v>1131</v>
      </c>
      <c r="D1135" t="str">
        <f>"142003"</f>
        <v>142003</v>
      </c>
      <c r="E1135">
        <v>5991</v>
      </c>
      <c r="F1135">
        <v>3195</v>
      </c>
      <c r="G1135" s="1">
        <v>0.5333</v>
      </c>
      <c r="H1135">
        <v>6</v>
      </c>
      <c r="I1135">
        <v>5961</v>
      </c>
    </row>
    <row r="1136" spans="1:9" x14ac:dyDescent="0.35">
      <c r="A1136" t="s">
        <v>9</v>
      </c>
      <c r="B1136" t="s">
        <v>970</v>
      </c>
      <c r="C1136" t="s">
        <v>1132</v>
      </c>
      <c r="D1136" t="str">
        <f>"142004"</f>
        <v>142004</v>
      </c>
      <c r="E1136">
        <v>5879</v>
      </c>
      <c r="F1136">
        <v>2940</v>
      </c>
      <c r="G1136" s="1">
        <v>0.50009999999999999</v>
      </c>
      <c r="H1136">
        <v>5</v>
      </c>
      <c r="I1136">
        <v>5792</v>
      </c>
    </row>
    <row r="1137" spans="1:9" x14ac:dyDescent="0.35">
      <c r="A1137" t="s">
        <v>9</v>
      </c>
      <c r="B1137" t="s">
        <v>970</v>
      </c>
      <c r="C1137" t="s">
        <v>1133</v>
      </c>
      <c r="D1137" t="str">
        <f>"142005"</f>
        <v>142005</v>
      </c>
      <c r="E1137">
        <v>2799</v>
      </c>
      <c r="F1137">
        <v>1584</v>
      </c>
      <c r="G1137" s="1">
        <v>0.56589999999999996</v>
      </c>
      <c r="H1137">
        <v>3</v>
      </c>
      <c r="I1137">
        <v>2793</v>
      </c>
    </row>
    <row r="1138" spans="1:9" x14ac:dyDescent="0.35">
      <c r="A1138" t="s">
        <v>9</v>
      </c>
      <c r="B1138" t="s">
        <v>970</v>
      </c>
      <c r="C1138" t="s">
        <v>1134</v>
      </c>
      <c r="D1138" t="str">
        <f>"142006"</f>
        <v>142006</v>
      </c>
      <c r="E1138">
        <v>2523</v>
      </c>
      <c r="F1138">
        <v>1701</v>
      </c>
      <c r="G1138" s="1">
        <v>0.67420000000000002</v>
      </c>
      <c r="H1138">
        <v>3</v>
      </c>
      <c r="I1138">
        <v>2411</v>
      </c>
    </row>
    <row r="1139" spans="1:9" x14ac:dyDescent="0.35">
      <c r="A1139" t="s">
        <v>9</v>
      </c>
      <c r="B1139" t="s">
        <v>970</v>
      </c>
      <c r="C1139" t="s">
        <v>1135</v>
      </c>
      <c r="D1139" t="str">
        <f>"142007"</f>
        <v>142007</v>
      </c>
      <c r="E1139">
        <v>4830</v>
      </c>
      <c r="F1139">
        <v>2290</v>
      </c>
      <c r="G1139" s="1">
        <v>0.47410000000000002</v>
      </c>
      <c r="H1139">
        <v>7</v>
      </c>
      <c r="I1139">
        <v>4810</v>
      </c>
    </row>
    <row r="1140" spans="1:9" x14ac:dyDescent="0.35">
      <c r="A1140" t="s">
        <v>9</v>
      </c>
      <c r="B1140" t="s">
        <v>970</v>
      </c>
      <c r="C1140" t="s">
        <v>1136</v>
      </c>
      <c r="D1140" t="str">
        <f>"142008"</f>
        <v>142008</v>
      </c>
      <c r="E1140">
        <v>3744</v>
      </c>
      <c r="F1140">
        <v>2245</v>
      </c>
      <c r="G1140" s="1">
        <v>0.59960000000000002</v>
      </c>
      <c r="H1140">
        <v>5</v>
      </c>
      <c r="I1140">
        <v>3693</v>
      </c>
    </row>
    <row r="1141" spans="1:9" x14ac:dyDescent="0.35">
      <c r="A1141" t="s">
        <v>9</v>
      </c>
      <c r="B1141" t="s">
        <v>970</v>
      </c>
      <c r="C1141" t="s">
        <v>1137</v>
      </c>
      <c r="D1141" t="str">
        <f>"142009"</f>
        <v>142009</v>
      </c>
      <c r="E1141">
        <v>6324</v>
      </c>
      <c r="F1141">
        <v>3480</v>
      </c>
      <c r="G1141" s="1">
        <v>0.55030000000000001</v>
      </c>
      <c r="H1141">
        <v>9</v>
      </c>
      <c r="I1141">
        <v>6286</v>
      </c>
    </row>
    <row r="1142" spans="1:9" x14ac:dyDescent="0.35">
      <c r="A1142" t="s">
        <v>9</v>
      </c>
      <c r="B1142" t="s">
        <v>970</v>
      </c>
      <c r="C1142" t="s">
        <v>1138</v>
      </c>
      <c r="D1142" t="str">
        <f>"142010"</f>
        <v>142010</v>
      </c>
      <c r="E1142">
        <v>6092</v>
      </c>
      <c r="F1142">
        <v>2982</v>
      </c>
      <c r="G1142" s="1">
        <v>0.48949999999999999</v>
      </c>
      <c r="H1142">
        <v>5</v>
      </c>
      <c r="I1142">
        <v>6065</v>
      </c>
    </row>
    <row r="1143" spans="1:9" x14ac:dyDescent="0.35">
      <c r="A1143" t="s">
        <v>9</v>
      </c>
      <c r="B1143" t="s">
        <v>970</v>
      </c>
      <c r="C1143" t="s">
        <v>1139</v>
      </c>
      <c r="D1143" t="str">
        <f>"142011"</f>
        <v>142011</v>
      </c>
      <c r="E1143">
        <v>4558</v>
      </c>
      <c r="F1143">
        <v>2591</v>
      </c>
      <c r="G1143" s="1">
        <v>0.56850000000000001</v>
      </c>
      <c r="H1143">
        <v>5</v>
      </c>
      <c r="I1143">
        <v>4525</v>
      </c>
    </row>
    <row r="1144" spans="1:9" x14ac:dyDescent="0.35">
      <c r="A1144" t="s">
        <v>9</v>
      </c>
      <c r="B1144" t="s">
        <v>970</v>
      </c>
      <c r="C1144" t="s">
        <v>1140</v>
      </c>
      <c r="D1144" t="str">
        <f>"142012"</f>
        <v>142012</v>
      </c>
      <c r="E1144">
        <v>4532</v>
      </c>
      <c r="F1144">
        <v>2414</v>
      </c>
      <c r="G1144" s="1">
        <v>0.53269999999999995</v>
      </c>
      <c r="H1144">
        <v>6</v>
      </c>
      <c r="I1144">
        <v>4437</v>
      </c>
    </row>
    <row r="1145" spans="1:9" x14ac:dyDescent="0.35">
      <c r="A1145" t="s">
        <v>9</v>
      </c>
      <c r="B1145" t="s">
        <v>970</v>
      </c>
      <c r="C1145" t="s">
        <v>1141</v>
      </c>
      <c r="D1145" t="str">
        <f>"142101"</f>
        <v>142101</v>
      </c>
      <c r="E1145">
        <v>17063</v>
      </c>
      <c r="F1145">
        <v>10132</v>
      </c>
      <c r="G1145" s="1">
        <v>0.59379999999999999</v>
      </c>
      <c r="H1145">
        <v>10</v>
      </c>
      <c r="I1145">
        <v>16828</v>
      </c>
    </row>
    <row r="1146" spans="1:9" x14ac:dyDescent="0.35">
      <c r="A1146" t="s">
        <v>9</v>
      </c>
      <c r="B1146" t="s">
        <v>970</v>
      </c>
      <c r="C1146" t="s">
        <v>1142</v>
      </c>
      <c r="D1146" t="str">
        <f>"142102"</f>
        <v>142102</v>
      </c>
      <c r="E1146">
        <v>45908</v>
      </c>
      <c r="F1146">
        <v>28748</v>
      </c>
      <c r="G1146" s="1">
        <v>0.62619999999999998</v>
      </c>
      <c r="H1146">
        <v>26</v>
      </c>
      <c r="I1146">
        <v>45073</v>
      </c>
    </row>
    <row r="1147" spans="1:9" x14ac:dyDescent="0.35">
      <c r="A1147" t="s">
        <v>9</v>
      </c>
      <c r="B1147" t="s">
        <v>970</v>
      </c>
      <c r="C1147" t="s">
        <v>1143</v>
      </c>
      <c r="D1147" t="str">
        <f>"142103"</f>
        <v>142103</v>
      </c>
      <c r="E1147">
        <v>20348</v>
      </c>
      <c r="F1147">
        <v>13818</v>
      </c>
      <c r="G1147" s="1">
        <v>0.67910000000000004</v>
      </c>
      <c r="H1147">
        <v>16</v>
      </c>
      <c r="I1147">
        <v>20126</v>
      </c>
    </row>
    <row r="1148" spans="1:9" x14ac:dyDescent="0.35">
      <c r="A1148" t="s">
        <v>9</v>
      </c>
      <c r="B1148" t="s">
        <v>970</v>
      </c>
      <c r="C1148" t="s">
        <v>837</v>
      </c>
      <c r="D1148" t="str">
        <f>"142104"</f>
        <v>142104</v>
      </c>
      <c r="E1148">
        <v>14374</v>
      </c>
      <c r="F1148">
        <v>10269</v>
      </c>
      <c r="G1148" s="1">
        <v>0.71440000000000003</v>
      </c>
      <c r="H1148">
        <v>12</v>
      </c>
      <c r="I1148">
        <v>14138</v>
      </c>
    </row>
    <row r="1149" spans="1:9" x14ac:dyDescent="0.35">
      <c r="A1149" t="s">
        <v>9</v>
      </c>
      <c r="B1149" t="s">
        <v>970</v>
      </c>
      <c r="C1149" t="s">
        <v>1144</v>
      </c>
      <c r="D1149" t="str">
        <f>"142105"</f>
        <v>142105</v>
      </c>
      <c r="E1149">
        <v>12513</v>
      </c>
      <c r="F1149">
        <v>8455</v>
      </c>
      <c r="G1149" s="1">
        <v>0.67569999999999997</v>
      </c>
      <c r="H1149">
        <v>9</v>
      </c>
      <c r="I1149">
        <v>12309</v>
      </c>
    </row>
    <row r="1150" spans="1:9" x14ac:dyDescent="0.35">
      <c r="A1150" t="s">
        <v>9</v>
      </c>
      <c r="B1150" t="s">
        <v>970</v>
      </c>
      <c r="C1150" t="s">
        <v>1145</v>
      </c>
      <c r="D1150" t="str">
        <f>"142106"</f>
        <v>142106</v>
      </c>
      <c r="E1150">
        <v>17483</v>
      </c>
      <c r="F1150">
        <v>11392</v>
      </c>
      <c r="G1150" s="1">
        <v>0.65159999999999996</v>
      </c>
      <c r="H1150">
        <v>15</v>
      </c>
      <c r="I1150">
        <v>17082</v>
      </c>
    </row>
    <row r="1151" spans="1:9" x14ac:dyDescent="0.35">
      <c r="A1151" t="s">
        <v>9</v>
      </c>
      <c r="B1151" t="s">
        <v>970</v>
      </c>
      <c r="C1151" t="s">
        <v>1146</v>
      </c>
      <c r="D1151" t="str">
        <f>"142201"</f>
        <v>142201</v>
      </c>
      <c r="E1151">
        <v>12171</v>
      </c>
      <c r="F1151">
        <v>7097</v>
      </c>
      <c r="G1151" s="1">
        <v>0.58309999999999995</v>
      </c>
      <c r="H1151">
        <v>12</v>
      </c>
      <c r="I1151">
        <v>12103</v>
      </c>
    </row>
    <row r="1152" spans="1:9" x14ac:dyDescent="0.35">
      <c r="A1152" t="s">
        <v>9</v>
      </c>
      <c r="B1152" t="s">
        <v>970</v>
      </c>
      <c r="C1152" t="s">
        <v>1147</v>
      </c>
      <c r="D1152" t="str">
        <f>"142202"</f>
        <v>142202</v>
      </c>
      <c r="E1152">
        <v>7377</v>
      </c>
      <c r="F1152">
        <v>3801</v>
      </c>
      <c r="G1152" s="1">
        <v>0.51529999999999998</v>
      </c>
      <c r="H1152">
        <v>13</v>
      </c>
      <c r="I1152">
        <v>7341</v>
      </c>
    </row>
    <row r="1153" spans="1:9" x14ac:dyDescent="0.35">
      <c r="A1153" t="s">
        <v>9</v>
      </c>
      <c r="B1153" t="s">
        <v>970</v>
      </c>
      <c r="C1153" t="s">
        <v>1148</v>
      </c>
      <c r="D1153" t="str">
        <f>"142203"</f>
        <v>142203</v>
      </c>
      <c r="E1153">
        <v>2821</v>
      </c>
      <c r="F1153">
        <v>1666</v>
      </c>
      <c r="G1153" s="1">
        <v>0.59060000000000001</v>
      </c>
      <c r="H1153">
        <v>6</v>
      </c>
      <c r="I1153">
        <v>2816</v>
      </c>
    </row>
    <row r="1154" spans="1:9" x14ac:dyDescent="0.35">
      <c r="A1154" t="s">
        <v>9</v>
      </c>
      <c r="B1154" t="s">
        <v>970</v>
      </c>
      <c r="C1154" t="s">
        <v>1149</v>
      </c>
      <c r="D1154" t="str">
        <f>"142204"</f>
        <v>142204</v>
      </c>
      <c r="E1154">
        <v>5266</v>
      </c>
      <c r="F1154">
        <v>2660</v>
      </c>
      <c r="G1154" s="1">
        <v>0.50509999999999999</v>
      </c>
      <c r="H1154">
        <v>10</v>
      </c>
      <c r="I1154">
        <v>5247</v>
      </c>
    </row>
    <row r="1155" spans="1:9" x14ac:dyDescent="0.35">
      <c r="A1155" t="s">
        <v>9</v>
      </c>
      <c r="B1155" t="s">
        <v>970</v>
      </c>
      <c r="C1155" t="s">
        <v>1150</v>
      </c>
      <c r="D1155" t="str">
        <f>"142205"</f>
        <v>142205</v>
      </c>
      <c r="E1155">
        <v>2689</v>
      </c>
      <c r="F1155">
        <v>1514</v>
      </c>
      <c r="G1155" s="1">
        <v>0.56299999999999994</v>
      </c>
      <c r="H1155">
        <v>3</v>
      </c>
      <c r="I1155">
        <v>2668</v>
      </c>
    </row>
    <row r="1156" spans="1:9" x14ac:dyDescent="0.35">
      <c r="A1156" t="s">
        <v>9</v>
      </c>
      <c r="B1156" t="s">
        <v>970</v>
      </c>
      <c r="C1156" t="s">
        <v>1151</v>
      </c>
      <c r="D1156" t="str">
        <f>"142206"</f>
        <v>142206</v>
      </c>
      <c r="E1156">
        <v>2603</v>
      </c>
      <c r="F1156">
        <v>1496</v>
      </c>
      <c r="G1156" s="1">
        <v>0.57469999999999999</v>
      </c>
      <c r="H1156">
        <v>7</v>
      </c>
      <c r="I1156">
        <v>2588</v>
      </c>
    </row>
    <row r="1157" spans="1:9" x14ac:dyDescent="0.35">
      <c r="A1157" t="s">
        <v>9</v>
      </c>
      <c r="B1157" t="s">
        <v>970</v>
      </c>
      <c r="C1157" t="s">
        <v>1152</v>
      </c>
      <c r="D1157" t="str">
        <f>"142207"</f>
        <v>142207</v>
      </c>
      <c r="E1157">
        <v>5401</v>
      </c>
      <c r="F1157">
        <v>2919</v>
      </c>
      <c r="G1157" s="1">
        <v>0.54049999999999998</v>
      </c>
      <c r="H1157">
        <v>9</v>
      </c>
      <c r="I1157">
        <v>5360</v>
      </c>
    </row>
    <row r="1158" spans="1:9" x14ac:dyDescent="0.35">
      <c r="A1158" t="s">
        <v>9</v>
      </c>
      <c r="B1158" t="s">
        <v>970</v>
      </c>
      <c r="C1158" t="s">
        <v>1153</v>
      </c>
      <c r="D1158" t="str">
        <f>"142301"</f>
        <v>142301</v>
      </c>
      <c r="E1158">
        <v>3286</v>
      </c>
      <c r="F1158">
        <v>1861</v>
      </c>
      <c r="G1158" s="1">
        <v>0.56630000000000003</v>
      </c>
      <c r="H1158">
        <v>8</v>
      </c>
      <c r="I1158">
        <v>3247</v>
      </c>
    </row>
    <row r="1159" spans="1:9" x14ac:dyDescent="0.35">
      <c r="A1159" t="s">
        <v>9</v>
      </c>
      <c r="B1159" t="s">
        <v>970</v>
      </c>
      <c r="C1159" t="s">
        <v>1154</v>
      </c>
      <c r="D1159" t="str">
        <f>"142302"</f>
        <v>142302</v>
      </c>
      <c r="E1159">
        <v>3501</v>
      </c>
      <c r="F1159">
        <v>2055</v>
      </c>
      <c r="G1159" s="1">
        <v>0.58699999999999997</v>
      </c>
      <c r="H1159">
        <v>6</v>
      </c>
      <c r="I1159">
        <v>3483</v>
      </c>
    </row>
    <row r="1160" spans="1:9" x14ac:dyDescent="0.35">
      <c r="A1160" t="s">
        <v>9</v>
      </c>
      <c r="B1160" t="s">
        <v>970</v>
      </c>
      <c r="C1160" t="s">
        <v>1155</v>
      </c>
      <c r="D1160" t="str">
        <f>"142303"</f>
        <v>142303</v>
      </c>
      <c r="E1160">
        <v>2540</v>
      </c>
      <c r="F1160">
        <v>1920</v>
      </c>
      <c r="G1160" s="1">
        <v>0.75590000000000002</v>
      </c>
      <c r="H1160">
        <v>8</v>
      </c>
      <c r="I1160">
        <v>2500</v>
      </c>
    </row>
    <row r="1161" spans="1:9" x14ac:dyDescent="0.35">
      <c r="A1161" t="s">
        <v>9</v>
      </c>
      <c r="B1161" t="s">
        <v>970</v>
      </c>
      <c r="C1161" t="s">
        <v>1156</v>
      </c>
      <c r="D1161" t="str">
        <f>"142304"</f>
        <v>142304</v>
      </c>
      <c r="E1161">
        <v>2940</v>
      </c>
      <c r="F1161">
        <v>1918</v>
      </c>
      <c r="G1161" s="1">
        <v>0.65239999999999998</v>
      </c>
      <c r="H1161">
        <v>5</v>
      </c>
      <c r="I1161">
        <v>2905</v>
      </c>
    </row>
    <row r="1162" spans="1:9" x14ac:dyDescent="0.35">
      <c r="A1162" t="s">
        <v>9</v>
      </c>
      <c r="B1162" t="s">
        <v>970</v>
      </c>
      <c r="C1162" t="s">
        <v>1157</v>
      </c>
      <c r="D1162" t="str">
        <f>"142305"</f>
        <v>142305</v>
      </c>
      <c r="E1162">
        <v>3234</v>
      </c>
      <c r="F1162">
        <v>1885</v>
      </c>
      <c r="G1162" s="1">
        <v>0.58289999999999997</v>
      </c>
      <c r="H1162">
        <v>5</v>
      </c>
      <c r="I1162">
        <v>3196</v>
      </c>
    </row>
    <row r="1163" spans="1:9" x14ac:dyDescent="0.35">
      <c r="A1163" t="s">
        <v>9</v>
      </c>
      <c r="B1163" t="s">
        <v>970</v>
      </c>
      <c r="C1163" t="s">
        <v>1158</v>
      </c>
      <c r="D1163" t="str">
        <f>"142306"</f>
        <v>142306</v>
      </c>
      <c r="E1163">
        <v>9050</v>
      </c>
      <c r="F1163">
        <v>5437</v>
      </c>
      <c r="G1163" s="1">
        <v>0.6008</v>
      </c>
      <c r="H1163">
        <v>14</v>
      </c>
      <c r="I1163">
        <v>8900</v>
      </c>
    </row>
    <row r="1164" spans="1:9" x14ac:dyDescent="0.35">
      <c r="A1164" t="s">
        <v>9</v>
      </c>
      <c r="B1164" t="s">
        <v>970</v>
      </c>
      <c r="C1164" t="s">
        <v>1159</v>
      </c>
      <c r="D1164" t="str">
        <f>"142307"</f>
        <v>142307</v>
      </c>
      <c r="E1164">
        <v>3292</v>
      </c>
      <c r="F1164">
        <v>2245</v>
      </c>
      <c r="G1164" s="1">
        <v>0.68200000000000005</v>
      </c>
      <c r="H1164">
        <v>10</v>
      </c>
      <c r="I1164">
        <v>3265</v>
      </c>
    </row>
    <row r="1165" spans="1:9" x14ac:dyDescent="0.35">
      <c r="A1165" t="s">
        <v>9</v>
      </c>
      <c r="B1165" t="s">
        <v>970</v>
      </c>
      <c r="C1165" t="s">
        <v>1160</v>
      </c>
      <c r="D1165" t="str">
        <f>"142308"</f>
        <v>142308</v>
      </c>
      <c r="E1165">
        <v>4101</v>
      </c>
      <c r="F1165">
        <v>2508</v>
      </c>
      <c r="G1165" s="1">
        <v>0.61160000000000003</v>
      </c>
      <c r="H1165">
        <v>10</v>
      </c>
      <c r="I1165">
        <v>4041</v>
      </c>
    </row>
    <row r="1166" spans="1:9" x14ac:dyDescent="0.35">
      <c r="A1166" t="s">
        <v>9</v>
      </c>
      <c r="B1166" t="s">
        <v>970</v>
      </c>
      <c r="C1166" t="s">
        <v>1161</v>
      </c>
      <c r="D1166" t="str">
        <f>"142401"</f>
        <v>142401</v>
      </c>
      <c r="E1166">
        <v>2791</v>
      </c>
      <c r="F1166">
        <v>1476</v>
      </c>
      <c r="G1166" s="1">
        <v>0.52880000000000005</v>
      </c>
      <c r="H1166">
        <v>3</v>
      </c>
      <c r="I1166">
        <v>2784</v>
      </c>
    </row>
    <row r="1167" spans="1:9" x14ac:dyDescent="0.35">
      <c r="A1167" t="s">
        <v>9</v>
      </c>
      <c r="B1167" t="s">
        <v>970</v>
      </c>
      <c r="C1167" t="s">
        <v>1162</v>
      </c>
      <c r="D1167" t="str">
        <f>"142402"</f>
        <v>142402</v>
      </c>
      <c r="E1167">
        <v>3720</v>
      </c>
      <c r="F1167">
        <v>2205</v>
      </c>
      <c r="G1167" s="1">
        <v>0.5927</v>
      </c>
      <c r="H1167">
        <v>7</v>
      </c>
      <c r="I1167">
        <v>3696</v>
      </c>
    </row>
    <row r="1168" spans="1:9" x14ac:dyDescent="0.35">
      <c r="A1168" t="s">
        <v>9</v>
      </c>
      <c r="B1168" t="s">
        <v>970</v>
      </c>
      <c r="C1168" t="s">
        <v>1163</v>
      </c>
      <c r="D1168" t="str">
        <f>"142403"</f>
        <v>142403</v>
      </c>
      <c r="E1168">
        <v>4206</v>
      </c>
      <c r="F1168">
        <v>2440</v>
      </c>
      <c r="G1168" s="1">
        <v>0.58009999999999995</v>
      </c>
      <c r="H1168">
        <v>7</v>
      </c>
      <c r="I1168">
        <v>4042</v>
      </c>
    </row>
    <row r="1169" spans="1:9" x14ac:dyDescent="0.35">
      <c r="A1169" t="s">
        <v>9</v>
      </c>
      <c r="B1169" t="s">
        <v>970</v>
      </c>
      <c r="C1169" t="s">
        <v>1164</v>
      </c>
      <c r="D1169" t="str">
        <f>"142404"</f>
        <v>142404</v>
      </c>
      <c r="E1169">
        <v>18595</v>
      </c>
      <c r="F1169">
        <v>10937</v>
      </c>
      <c r="G1169" s="1">
        <v>0.58819999999999995</v>
      </c>
      <c r="H1169">
        <v>20</v>
      </c>
      <c r="I1169">
        <v>18256</v>
      </c>
    </row>
    <row r="1170" spans="1:9" x14ac:dyDescent="0.35">
      <c r="A1170" t="s">
        <v>9</v>
      </c>
      <c r="B1170" t="s">
        <v>970</v>
      </c>
      <c r="C1170" t="s">
        <v>1165</v>
      </c>
      <c r="D1170" t="str">
        <f>"142405"</f>
        <v>142405</v>
      </c>
      <c r="E1170">
        <v>3675</v>
      </c>
      <c r="F1170">
        <v>2116</v>
      </c>
      <c r="G1170" s="1">
        <v>0.57579999999999998</v>
      </c>
      <c r="H1170">
        <v>5</v>
      </c>
      <c r="I1170">
        <v>3653</v>
      </c>
    </row>
    <row r="1171" spans="1:9" x14ac:dyDescent="0.35">
      <c r="A1171" t="s">
        <v>9</v>
      </c>
      <c r="B1171" t="s">
        <v>970</v>
      </c>
      <c r="C1171" t="s">
        <v>1166</v>
      </c>
      <c r="D1171" t="str">
        <f>"142406"</f>
        <v>142406</v>
      </c>
      <c r="E1171">
        <v>3153</v>
      </c>
      <c r="F1171">
        <v>1934</v>
      </c>
      <c r="G1171" s="1">
        <v>0.61339999999999995</v>
      </c>
      <c r="H1171">
        <v>4</v>
      </c>
      <c r="I1171">
        <v>3134</v>
      </c>
    </row>
    <row r="1172" spans="1:9" x14ac:dyDescent="0.35">
      <c r="A1172" t="s">
        <v>9</v>
      </c>
      <c r="B1172" t="s">
        <v>970</v>
      </c>
      <c r="C1172" t="s">
        <v>1167</v>
      </c>
      <c r="D1172" t="str">
        <f>"142407"</f>
        <v>142407</v>
      </c>
      <c r="E1172">
        <v>3934</v>
      </c>
      <c r="F1172">
        <v>2377</v>
      </c>
      <c r="G1172" s="1">
        <v>0.60419999999999996</v>
      </c>
      <c r="H1172">
        <v>6</v>
      </c>
      <c r="I1172">
        <v>3868</v>
      </c>
    </row>
    <row r="1173" spans="1:9" x14ac:dyDescent="0.35">
      <c r="A1173" t="s">
        <v>9</v>
      </c>
      <c r="B1173" t="s">
        <v>970</v>
      </c>
      <c r="C1173" t="s">
        <v>1168</v>
      </c>
      <c r="D1173" t="str">
        <f>"142501"</f>
        <v>142501</v>
      </c>
      <c r="E1173">
        <v>13025</v>
      </c>
      <c r="F1173">
        <v>7844</v>
      </c>
      <c r="G1173" s="1">
        <v>0.60219999999999996</v>
      </c>
      <c r="H1173">
        <v>15</v>
      </c>
      <c r="I1173">
        <v>12911</v>
      </c>
    </row>
    <row r="1174" spans="1:9" x14ac:dyDescent="0.35">
      <c r="A1174" t="s">
        <v>9</v>
      </c>
      <c r="B1174" t="s">
        <v>970</v>
      </c>
      <c r="C1174" t="s">
        <v>1169</v>
      </c>
      <c r="D1174" t="str">
        <f>"142502"</f>
        <v>142502</v>
      </c>
      <c r="E1174">
        <v>6896</v>
      </c>
      <c r="F1174">
        <v>4098</v>
      </c>
      <c r="G1174" s="1">
        <v>0.59430000000000005</v>
      </c>
      <c r="H1174">
        <v>6</v>
      </c>
      <c r="I1174">
        <v>6876</v>
      </c>
    </row>
    <row r="1175" spans="1:9" x14ac:dyDescent="0.35">
      <c r="A1175" t="s">
        <v>9</v>
      </c>
      <c r="B1175" t="s">
        <v>970</v>
      </c>
      <c r="C1175" t="s">
        <v>1170</v>
      </c>
      <c r="D1175" t="str">
        <f>"142503"</f>
        <v>142503</v>
      </c>
      <c r="E1175">
        <v>11037</v>
      </c>
      <c r="F1175">
        <v>6086</v>
      </c>
      <c r="G1175" s="1">
        <v>0.5514</v>
      </c>
      <c r="H1175">
        <v>20</v>
      </c>
      <c r="I1175">
        <v>10967</v>
      </c>
    </row>
    <row r="1176" spans="1:9" x14ac:dyDescent="0.35">
      <c r="A1176" t="s">
        <v>9</v>
      </c>
      <c r="B1176" t="s">
        <v>970</v>
      </c>
      <c r="C1176" t="s">
        <v>1171</v>
      </c>
      <c r="D1176" t="str">
        <f>"142504"</f>
        <v>142504</v>
      </c>
      <c r="E1176">
        <v>5337</v>
      </c>
      <c r="F1176">
        <v>3046</v>
      </c>
      <c r="G1176" s="1">
        <v>0.57069999999999999</v>
      </c>
      <c r="H1176">
        <v>8</v>
      </c>
      <c r="I1176">
        <v>5320</v>
      </c>
    </row>
    <row r="1177" spans="1:9" x14ac:dyDescent="0.35">
      <c r="A1177" t="s">
        <v>9</v>
      </c>
      <c r="B1177" t="s">
        <v>970</v>
      </c>
      <c r="C1177" t="s">
        <v>1172</v>
      </c>
      <c r="D1177" t="str">
        <f>"142505"</f>
        <v>142505</v>
      </c>
      <c r="E1177">
        <v>10926</v>
      </c>
      <c r="F1177">
        <v>6289</v>
      </c>
      <c r="G1177" s="1">
        <v>0.5756</v>
      </c>
      <c r="H1177">
        <v>9</v>
      </c>
      <c r="I1177">
        <v>10880</v>
      </c>
    </row>
    <row r="1178" spans="1:9" x14ac:dyDescent="0.35">
      <c r="A1178" t="s">
        <v>9</v>
      </c>
      <c r="B1178" t="s">
        <v>970</v>
      </c>
      <c r="C1178" t="s">
        <v>1173</v>
      </c>
      <c r="D1178" t="str">
        <f>"142506"</f>
        <v>142506</v>
      </c>
      <c r="E1178">
        <v>10130</v>
      </c>
      <c r="F1178">
        <v>5853</v>
      </c>
      <c r="G1178" s="1">
        <v>0.57779999999999998</v>
      </c>
      <c r="H1178">
        <v>8</v>
      </c>
      <c r="I1178">
        <v>10085</v>
      </c>
    </row>
    <row r="1179" spans="1:9" x14ac:dyDescent="0.35">
      <c r="A1179" t="s">
        <v>9</v>
      </c>
      <c r="B1179" t="s">
        <v>970</v>
      </c>
      <c r="C1179" t="s">
        <v>1174</v>
      </c>
      <c r="D1179" t="str">
        <f>"142507"</f>
        <v>142507</v>
      </c>
      <c r="E1179">
        <v>9181</v>
      </c>
      <c r="F1179">
        <v>5460</v>
      </c>
      <c r="G1179" s="1">
        <v>0.59470000000000001</v>
      </c>
      <c r="H1179">
        <v>8</v>
      </c>
      <c r="I1179">
        <v>9180</v>
      </c>
    </row>
    <row r="1180" spans="1:9" x14ac:dyDescent="0.35">
      <c r="A1180" t="s">
        <v>9</v>
      </c>
      <c r="B1180" t="s">
        <v>970</v>
      </c>
      <c r="C1180" t="s">
        <v>1175</v>
      </c>
      <c r="D1180" t="str">
        <f>"142508"</f>
        <v>142508</v>
      </c>
      <c r="E1180">
        <v>7642</v>
      </c>
      <c r="F1180">
        <v>4186</v>
      </c>
      <c r="G1180" s="1">
        <v>0.54779999999999995</v>
      </c>
      <c r="H1180">
        <v>8</v>
      </c>
      <c r="I1180">
        <v>7586</v>
      </c>
    </row>
    <row r="1181" spans="1:9" x14ac:dyDescent="0.35">
      <c r="A1181" t="s">
        <v>9</v>
      </c>
      <c r="B1181" t="s">
        <v>970</v>
      </c>
      <c r="C1181" t="s">
        <v>1176</v>
      </c>
      <c r="D1181" t="str">
        <f>"142509"</f>
        <v>142509</v>
      </c>
      <c r="E1181">
        <v>5551</v>
      </c>
      <c r="F1181">
        <v>3169</v>
      </c>
      <c r="G1181" s="1">
        <v>0.57089999999999996</v>
      </c>
      <c r="H1181">
        <v>6</v>
      </c>
      <c r="I1181">
        <v>5536</v>
      </c>
    </row>
    <row r="1182" spans="1:9" x14ac:dyDescent="0.35">
      <c r="A1182" t="s">
        <v>9</v>
      </c>
      <c r="B1182" t="s">
        <v>970</v>
      </c>
      <c r="C1182" t="s">
        <v>1177</v>
      </c>
      <c r="D1182" t="str">
        <f>"142510"</f>
        <v>142510</v>
      </c>
      <c r="E1182">
        <v>11259</v>
      </c>
      <c r="F1182">
        <v>6372</v>
      </c>
      <c r="G1182" s="1">
        <v>0.56589999999999996</v>
      </c>
      <c r="H1182">
        <v>14</v>
      </c>
      <c r="I1182">
        <v>11259</v>
      </c>
    </row>
    <row r="1183" spans="1:9" x14ac:dyDescent="0.35">
      <c r="A1183" t="s">
        <v>9</v>
      </c>
      <c r="B1183" t="s">
        <v>970</v>
      </c>
      <c r="C1183" t="s">
        <v>369</v>
      </c>
      <c r="D1183" t="str">
        <f>"142511"</f>
        <v>142511</v>
      </c>
      <c r="E1183">
        <v>7141</v>
      </c>
      <c r="F1183">
        <v>3737</v>
      </c>
      <c r="G1183" s="1">
        <v>0.52329999999999999</v>
      </c>
      <c r="H1183">
        <v>9</v>
      </c>
      <c r="I1183">
        <v>7114</v>
      </c>
    </row>
    <row r="1184" spans="1:9" x14ac:dyDescent="0.35">
      <c r="A1184" t="s">
        <v>9</v>
      </c>
      <c r="B1184" t="s">
        <v>970</v>
      </c>
      <c r="C1184" t="s">
        <v>1178</v>
      </c>
      <c r="D1184" t="str">
        <f>"142512"</f>
        <v>142512</v>
      </c>
      <c r="E1184">
        <v>6795</v>
      </c>
      <c r="F1184">
        <v>4016</v>
      </c>
      <c r="G1184" s="1">
        <v>0.59099999999999997</v>
      </c>
      <c r="H1184">
        <v>10</v>
      </c>
      <c r="I1184">
        <v>6777</v>
      </c>
    </row>
    <row r="1185" spans="1:9" x14ac:dyDescent="0.35">
      <c r="A1185" t="s">
        <v>9</v>
      </c>
      <c r="B1185" t="s">
        <v>970</v>
      </c>
      <c r="C1185" t="s">
        <v>436</v>
      </c>
      <c r="D1185" t="str">
        <f>"142513"</f>
        <v>142513</v>
      </c>
      <c r="E1185">
        <v>10187</v>
      </c>
      <c r="F1185">
        <v>6009</v>
      </c>
      <c r="G1185" s="1">
        <v>0.58989999999999998</v>
      </c>
      <c r="H1185">
        <v>10</v>
      </c>
      <c r="I1185">
        <v>10160</v>
      </c>
    </row>
    <row r="1186" spans="1:9" x14ac:dyDescent="0.35">
      <c r="A1186" t="s">
        <v>9</v>
      </c>
      <c r="B1186" t="s">
        <v>970</v>
      </c>
      <c r="C1186" t="s">
        <v>1179</v>
      </c>
      <c r="D1186" t="str">
        <f>"142601"</f>
        <v>142601</v>
      </c>
      <c r="E1186">
        <v>1953</v>
      </c>
      <c r="F1186">
        <v>1195</v>
      </c>
      <c r="G1186" s="1">
        <v>0.6119</v>
      </c>
      <c r="H1186">
        <v>4</v>
      </c>
      <c r="I1186">
        <v>1946</v>
      </c>
    </row>
    <row r="1187" spans="1:9" x14ac:dyDescent="0.35">
      <c r="A1187" t="s">
        <v>9</v>
      </c>
      <c r="B1187" t="s">
        <v>970</v>
      </c>
      <c r="C1187" t="s">
        <v>1180</v>
      </c>
      <c r="D1187" t="str">
        <f>"142602"</f>
        <v>142602</v>
      </c>
      <c r="E1187">
        <v>2047</v>
      </c>
      <c r="F1187">
        <v>1170</v>
      </c>
      <c r="G1187" s="1">
        <v>0.5716</v>
      </c>
      <c r="H1187">
        <v>4</v>
      </c>
      <c r="I1187">
        <v>2017</v>
      </c>
    </row>
    <row r="1188" spans="1:9" x14ac:dyDescent="0.35">
      <c r="A1188" t="s">
        <v>9</v>
      </c>
      <c r="B1188" t="s">
        <v>970</v>
      </c>
      <c r="C1188" t="s">
        <v>1181</v>
      </c>
      <c r="D1188" t="str">
        <f>"142603"</f>
        <v>142603</v>
      </c>
      <c r="E1188">
        <v>6550</v>
      </c>
      <c r="F1188">
        <v>3576</v>
      </c>
      <c r="G1188" s="1">
        <v>0.54600000000000004</v>
      </c>
      <c r="H1188">
        <v>7</v>
      </c>
      <c r="I1188">
        <v>6483</v>
      </c>
    </row>
    <row r="1189" spans="1:9" x14ac:dyDescent="0.35">
      <c r="A1189" t="s">
        <v>9</v>
      </c>
      <c r="B1189" t="s">
        <v>970</v>
      </c>
      <c r="C1189" t="s">
        <v>1182</v>
      </c>
      <c r="D1189" t="str">
        <f>"142604"</f>
        <v>142604</v>
      </c>
      <c r="E1189">
        <v>3836</v>
      </c>
      <c r="F1189">
        <v>2300</v>
      </c>
      <c r="G1189" s="1">
        <v>0.59960000000000002</v>
      </c>
      <c r="H1189">
        <v>4</v>
      </c>
      <c r="I1189">
        <v>3805</v>
      </c>
    </row>
    <row r="1190" spans="1:9" x14ac:dyDescent="0.35">
      <c r="A1190" t="s">
        <v>9</v>
      </c>
      <c r="B1190" t="s">
        <v>970</v>
      </c>
      <c r="C1190" t="s">
        <v>1183</v>
      </c>
      <c r="D1190" t="str">
        <f>"142605"</f>
        <v>142605</v>
      </c>
      <c r="E1190">
        <v>4396</v>
      </c>
      <c r="F1190">
        <v>2522</v>
      </c>
      <c r="G1190" s="1">
        <v>0.57369999999999999</v>
      </c>
      <c r="H1190">
        <v>6</v>
      </c>
      <c r="I1190">
        <v>4374</v>
      </c>
    </row>
    <row r="1191" spans="1:9" x14ac:dyDescent="0.35">
      <c r="A1191" t="s">
        <v>9</v>
      </c>
      <c r="B1191" t="s">
        <v>970</v>
      </c>
      <c r="C1191" t="s">
        <v>1184</v>
      </c>
      <c r="D1191" t="str">
        <f>"142606"</f>
        <v>142606</v>
      </c>
      <c r="E1191">
        <v>1949</v>
      </c>
      <c r="F1191">
        <v>1220</v>
      </c>
      <c r="G1191" s="1">
        <v>0.626</v>
      </c>
      <c r="H1191">
        <v>2</v>
      </c>
      <c r="I1191">
        <v>1937</v>
      </c>
    </row>
    <row r="1192" spans="1:9" x14ac:dyDescent="0.35">
      <c r="A1192" t="s">
        <v>9</v>
      </c>
      <c r="B1192" t="s">
        <v>970</v>
      </c>
      <c r="C1192" t="s">
        <v>1185</v>
      </c>
      <c r="D1192" t="str">
        <f>"142607"</f>
        <v>142607</v>
      </c>
      <c r="E1192">
        <v>2412</v>
      </c>
      <c r="F1192">
        <v>1392</v>
      </c>
      <c r="G1192" s="1">
        <v>0.57709999999999995</v>
      </c>
      <c r="H1192">
        <v>5</v>
      </c>
      <c r="I1192">
        <v>2402</v>
      </c>
    </row>
    <row r="1193" spans="1:9" x14ac:dyDescent="0.35">
      <c r="A1193" t="s">
        <v>9</v>
      </c>
      <c r="B1193" t="s">
        <v>970</v>
      </c>
      <c r="C1193" t="s">
        <v>1186</v>
      </c>
      <c r="D1193" t="str">
        <f>"142608"</f>
        <v>142608</v>
      </c>
      <c r="E1193">
        <v>14153</v>
      </c>
      <c r="F1193">
        <v>8574</v>
      </c>
      <c r="G1193" s="1">
        <v>0.60580000000000001</v>
      </c>
      <c r="H1193">
        <v>12</v>
      </c>
      <c r="I1193">
        <v>14070</v>
      </c>
    </row>
    <row r="1194" spans="1:9" x14ac:dyDescent="0.35">
      <c r="A1194" t="s">
        <v>9</v>
      </c>
      <c r="B1194" t="s">
        <v>970</v>
      </c>
      <c r="C1194" t="s">
        <v>1187</v>
      </c>
      <c r="D1194" t="str">
        <f>"142609"</f>
        <v>142609</v>
      </c>
      <c r="E1194">
        <v>6048</v>
      </c>
      <c r="F1194">
        <v>3601</v>
      </c>
      <c r="G1194" s="1">
        <v>0.59540000000000004</v>
      </c>
      <c r="H1194">
        <v>14</v>
      </c>
      <c r="I1194">
        <v>6018</v>
      </c>
    </row>
    <row r="1195" spans="1:9" x14ac:dyDescent="0.35">
      <c r="A1195" t="s">
        <v>9</v>
      </c>
      <c r="B1195" t="s">
        <v>970</v>
      </c>
      <c r="C1195" t="s">
        <v>1188</v>
      </c>
      <c r="D1195" t="str">
        <f>"142610"</f>
        <v>142610</v>
      </c>
      <c r="E1195">
        <v>3608</v>
      </c>
      <c r="F1195">
        <v>1977</v>
      </c>
      <c r="G1195" s="1">
        <v>0.54790000000000005</v>
      </c>
      <c r="H1195">
        <v>4</v>
      </c>
      <c r="I1195">
        <v>3602</v>
      </c>
    </row>
    <row r="1196" spans="1:9" x14ac:dyDescent="0.35">
      <c r="A1196" t="s">
        <v>9</v>
      </c>
      <c r="B1196" t="s">
        <v>970</v>
      </c>
      <c r="C1196" t="s">
        <v>1189</v>
      </c>
      <c r="D1196" t="str">
        <f>"142611"</f>
        <v>142611</v>
      </c>
      <c r="E1196">
        <v>4502</v>
      </c>
      <c r="F1196">
        <v>2718</v>
      </c>
      <c r="G1196" s="1">
        <v>0.60370000000000001</v>
      </c>
      <c r="H1196">
        <v>8</v>
      </c>
      <c r="I1196">
        <v>4484</v>
      </c>
    </row>
    <row r="1197" spans="1:9" x14ac:dyDescent="0.35">
      <c r="A1197" t="s">
        <v>9</v>
      </c>
      <c r="B1197" t="s">
        <v>970</v>
      </c>
      <c r="C1197" t="s">
        <v>1190</v>
      </c>
      <c r="D1197" t="str">
        <f>"142612"</f>
        <v>142612</v>
      </c>
      <c r="E1197">
        <v>3353</v>
      </c>
      <c r="F1197">
        <v>1940</v>
      </c>
      <c r="G1197" s="1">
        <v>0.5786</v>
      </c>
      <c r="H1197">
        <v>8</v>
      </c>
      <c r="I1197">
        <v>3317</v>
      </c>
    </row>
    <row r="1198" spans="1:9" x14ac:dyDescent="0.35">
      <c r="A1198" t="s">
        <v>9</v>
      </c>
      <c r="B1198" t="s">
        <v>970</v>
      </c>
      <c r="C1198" t="s">
        <v>1191</v>
      </c>
      <c r="D1198" t="str">
        <f>"142613"</f>
        <v>142613</v>
      </c>
      <c r="E1198">
        <v>7505</v>
      </c>
      <c r="F1198">
        <v>4554</v>
      </c>
      <c r="G1198" s="1">
        <v>0.60680000000000001</v>
      </c>
      <c r="H1198">
        <v>16</v>
      </c>
      <c r="I1198">
        <v>7465</v>
      </c>
    </row>
    <row r="1199" spans="1:9" x14ac:dyDescent="0.35">
      <c r="A1199" t="s">
        <v>9</v>
      </c>
      <c r="B1199" t="s">
        <v>970</v>
      </c>
      <c r="C1199" t="s">
        <v>1192</v>
      </c>
      <c r="D1199" t="str">
        <f>"142701"</f>
        <v>142701</v>
      </c>
      <c r="E1199">
        <v>13042</v>
      </c>
      <c r="F1199">
        <v>7434</v>
      </c>
      <c r="G1199" s="1">
        <v>0.56999999999999995</v>
      </c>
      <c r="H1199">
        <v>15</v>
      </c>
      <c r="I1199">
        <v>12961</v>
      </c>
    </row>
    <row r="1200" spans="1:9" x14ac:dyDescent="0.35">
      <c r="A1200" t="s">
        <v>9</v>
      </c>
      <c r="B1200" t="s">
        <v>970</v>
      </c>
      <c r="C1200" t="s">
        <v>1193</v>
      </c>
      <c r="D1200" t="str">
        <f>"142702"</f>
        <v>142702</v>
      </c>
      <c r="E1200">
        <v>4428</v>
      </c>
      <c r="F1200">
        <v>2180</v>
      </c>
      <c r="G1200" s="1">
        <v>0.49230000000000002</v>
      </c>
      <c r="H1200">
        <v>7</v>
      </c>
      <c r="I1200">
        <v>4401</v>
      </c>
    </row>
    <row r="1201" spans="1:9" x14ac:dyDescent="0.35">
      <c r="A1201" t="s">
        <v>9</v>
      </c>
      <c r="B1201" t="s">
        <v>970</v>
      </c>
      <c r="C1201" t="s">
        <v>1194</v>
      </c>
      <c r="D1201" t="str">
        <f>"142703"</f>
        <v>142703</v>
      </c>
      <c r="E1201">
        <v>4563</v>
      </c>
      <c r="F1201">
        <v>2243</v>
      </c>
      <c r="G1201" s="1">
        <v>0.49159999999999998</v>
      </c>
      <c r="H1201">
        <v>6</v>
      </c>
      <c r="I1201">
        <v>4540</v>
      </c>
    </row>
    <row r="1202" spans="1:9" x14ac:dyDescent="0.35">
      <c r="A1202" t="s">
        <v>9</v>
      </c>
      <c r="B1202" t="s">
        <v>970</v>
      </c>
      <c r="C1202" t="s">
        <v>1195</v>
      </c>
      <c r="D1202" t="str">
        <f>"142704"</f>
        <v>142704</v>
      </c>
      <c r="E1202">
        <v>3096</v>
      </c>
      <c r="F1202">
        <v>1674</v>
      </c>
      <c r="G1202" s="1">
        <v>0.54069999999999996</v>
      </c>
      <c r="H1202">
        <v>5</v>
      </c>
      <c r="I1202">
        <v>3089</v>
      </c>
    </row>
    <row r="1203" spans="1:9" x14ac:dyDescent="0.35">
      <c r="A1203" t="s">
        <v>9</v>
      </c>
      <c r="B1203" t="s">
        <v>970</v>
      </c>
      <c r="C1203" t="s">
        <v>1196</v>
      </c>
      <c r="D1203" t="str">
        <f>"142705"</f>
        <v>142705</v>
      </c>
      <c r="E1203">
        <v>5150</v>
      </c>
      <c r="F1203">
        <v>2726</v>
      </c>
      <c r="G1203" s="1">
        <v>0.52929999999999999</v>
      </c>
      <c r="H1203">
        <v>6</v>
      </c>
      <c r="I1203">
        <v>5135</v>
      </c>
    </row>
    <row r="1204" spans="1:9" x14ac:dyDescent="0.35">
      <c r="A1204" t="s">
        <v>9</v>
      </c>
      <c r="B1204" t="s">
        <v>970</v>
      </c>
      <c r="C1204" t="s">
        <v>1197</v>
      </c>
      <c r="D1204" t="str">
        <f>"142706"</f>
        <v>142706</v>
      </c>
      <c r="E1204">
        <v>3239</v>
      </c>
      <c r="F1204">
        <v>1712</v>
      </c>
      <c r="G1204" s="1">
        <v>0.52859999999999996</v>
      </c>
      <c r="H1204">
        <v>6</v>
      </c>
      <c r="I1204">
        <v>3225</v>
      </c>
    </row>
    <row r="1205" spans="1:9" x14ac:dyDescent="0.35">
      <c r="A1205" t="s">
        <v>9</v>
      </c>
      <c r="B1205" t="s">
        <v>970</v>
      </c>
      <c r="C1205" t="s">
        <v>1198</v>
      </c>
      <c r="D1205" t="str">
        <f>"142707"</f>
        <v>142707</v>
      </c>
      <c r="E1205">
        <v>4951</v>
      </c>
      <c r="F1205">
        <v>2648</v>
      </c>
      <c r="G1205" s="1">
        <v>0.53480000000000005</v>
      </c>
      <c r="H1205">
        <v>5</v>
      </c>
      <c r="I1205">
        <v>4931</v>
      </c>
    </row>
    <row r="1206" spans="1:9" x14ac:dyDescent="0.35">
      <c r="A1206" t="s">
        <v>9</v>
      </c>
      <c r="B1206" t="s">
        <v>970</v>
      </c>
      <c r="C1206" t="s">
        <v>1199</v>
      </c>
      <c r="D1206" t="str">
        <f>"142801"</f>
        <v>142801</v>
      </c>
      <c r="E1206">
        <v>26105</v>
      </c>
      <c r="F1206">
        <v>15607</v>
      </c>
      <c r="G1206" s="1">
        <v>0.59789999999999999</v>
      </c>
      <c r="H1206">
        <v>21</v>
      </c>
      <c r="I1206">
        <v>25895</v>
      </c>
    </row>
    <row r="1207" spans="1:9" x14ac:dyDescent="0.35">
      <c r="A1207" t="s">
        <v>9</v>
      </c>
      <c r="B1207" t="s">
        <v>970</v>
      </c>
      <c r="C1207" t="s">
        <v>1200</v>
      </c>
      <c r="D1207" t="str">
        <f>"142802"</f>
        <v>142802</v>
      </c>
      <c r="E1207">
        <v>3544</v>
      </c>
      <c r="F1207">
        <v>2066</v>
      </c>
      <c r="G1207" s="1">
        <v>0.58299999999999996</v>
      </c>
      <c r="H1207">
        <v>4</v>
      </c>
      <c r="I1207">
        <v>3498</v>
      </c>
    </row>
    <row r="1208" spans="1:9" x14ac:dyDescent="0.35">
      <c r="A1208" t="s">
        <v>9</v>
      </c>
      <c r="B1208" t="s">
        <v>970</v>
      </c>
      <c r="C1208" t="s">
        <v>1201</v>
      </c>
      <c r="D1208" t="str">
        <f>"142803"</f>
        <v>142803</v>
      </c>
      <c r="E1208">
        <v>4673</v>
      </c>
      <c r="F1208">
        <v>2621</v>
      </c>
      <c r="G1208" s="1">
        <v>0.56089999999999995</v>
      </c>
      <c r="H1208">
        <v>6</v>
      </c>
      <c r="I1208">
        <v>4642</v>
      </c>
    </row>
    <row r="1209" spans="1:9" x14ac:dyDescent="0.35">
      <c r="A1209" t="s">
        <v>9</v>
      </c>
      <c r="B1209" t="s">
        <v>970</v>
      </c>
      <c r="C1209" t="s">
        <v>1202</v>
      </c>
      <c r="D1209" t="str">
        <f>"142804"</f>
        <v>142804</v>
      </c>
      <c r="E1209">
        <v>4306</v>
      </c>
      <c r="F1209">
        <v>2475</v>
      </c>
      <c r="G1209" s="1">
        <v>0.57479999999999998</v>
      </c>
      <c r="H1209">
        <v>5</v>
      </c>
      <c r="I1209">
        <v>4295</v>
      </c>
    </row>
    <row r="1210" spans="1:9" x14ac:dyDescent="0.35">
      <c r="A1210" t="s">
        <v>9</v>
      </c>
      <c r="B1210" t="s">
        <v>970</v>
      </c>
      <c r="C1210" t="s">
        <v>1203</v>
      </c>
      <c r="D1210" t="str">
        <f>"142805"</f>
        <v>142805</v>
      </c>
      <c r="E1210">
        <v>5267</v>
      </c>
      <c r="F1210">
        <v>3149</v>
      </c>
      <c r="G1210" s="1">
        <v>0.59789999999999999</v>
      </c>
      <c r="H1210">
        <v>5</v>
      </c>
      <c r="I1210">
        <v>5247</v>
      </c>
    </row>
    <row r="1211" spans="1:9" x14ac:dyDescent="0.35">
      <c r="A1211" t="s">
        <v>9</v>
      </c>
      <c r="B1211" t="s">
        <v>970</v>
      </c>
      <c r="C1211" t="s">
        <v>1204</v>
      </c>
      <c r="D1211" t="str">
        <f>"142806"</f>
        <v>142806</v>
      </c>
      <c r="E1211">
        <v>2671</v>
      </c>
      <c r="F1211">
        <v>1514</v>
      </c>
      <c r="G1211" s="1">
        <v>0.56679999999999997</v>
      </c>
      <c r="H1211">
        <v>4</v>
      </c>
      <c r="I1211">
        <v>2665</v>
      </c>
    </row>
    <row r="1212" spans="1:9" x14ac:dyDescent="0.35">
      <c r="A1212" t="s">
        <v>9</v>
      </c>
      <c r="B1212" t="s">
        <v>970</v>
      </c>
      <c r="C1212" t="s">
        <v>1205</v>
      </c>
      <c r="D1212" t="str">
        <f>"142807"</f>
        <v>142807</v>
      </c>
      <c r="E1212">
        <v>8743</v>
      </c>
      <c r="F1212">
        <v>5392</v>
      </c>
      <c r="G1212" s="1">
        <v>0.61670000000000003</v>
      </c>
      <c r="H1212">
        <v>10</v>
      </c>
      <c r="I1212">
        <v>8658</v>
      </c>
    </row>
    <row r="1213" spans="1:9" x14ac:dyDescent="0.35">
      <c r="A1213" t="s">
        <v>9</v>
      </c>
      <c r="B1213" t="s">
        <v>970</v>
      </c>
      <c r="C1213" t="s">
        <v>1206</v>
      </c>
      <c r="D1213" t="str">
        <f>"142808"</f>
        <v>142808</v>
      </c>
      <c r="E1213">
        <v>9148</v>
      </c>
      <c r="F1213">
        <v>5730</v>
      </c>
      <c r="G1213" s="1">
        <v>0.62639999999999996</v>
      </c>
      <c r="H1213">
        <v>9</v>
      </c>
      <c r="I1213">
        <v>8927</v>
      </c>
    </row>
    <row r="1214" spans="1:9" x14ac:dyDescent="0.35">
      <c r="A1214" t="s">
        <v>9</v>
      </c>
      <c r="B1214" t="s">
        <v>970</v>
      </c>
      <c r="C1214" t="s">
        <v>1207</v>
      </c>
      <c r="D1214" t="str">
        <f>"142901"</f>
        <v>142901</v>
      </c>
      <c r="E1214">
        <v>14093</v>
      </c>
      <c r="F1214">
        <v>8472</v>
      </c>
      <c r="G1214" s="1">
        <v>0.60109999999999997</v>
      </c>
      <c r="H1214">
        <v>8</v>
      </c>
      <c r="I1214">
        <v>13993</v>
      </c>
    </row>
    <row r="1215" spans="1:9" x14ac:dyDescent="0.35">
      <c r="A1215" t="s">
        <v>9</v>
      </c>
      <c r="B1215" t="s">
        <v>970</v>
      </c>
      <c r="C1215" t="s">
        <v>1208</v>
      </c>
      <c r="D1215" t="str">
        <f>"142902"</f>
        <v>142902</v>
      </c>
      <c r="E1215">
        <v>2758</v>
      </c>
      <c r="F1215">
        <v>1928</v>
      </c>
      <c r="G1215" s="1">
        <v>0.69910000000000005</v>
      </c>
      <c r="H1215">
        <v>4</v>
      </c>
      <c r="I1215">
        <v>2739</v>
      </c>
    </row>
    <row r="1216" spans="1:9" x14ac:dyDescent="0.35">
      <c r="A1216" t="s">
        <v>9</v>
      </c>
      <c r="B1216" t="s">
        <v>970</v>
      </c>
      <c r="C1216" t="s">
        <v>1209</v>
      </c>
      <c r="D1216" t="str">
        <f>"142903"</f>
        <v>142903</v>
      </c>
      <c r="E1216">
        <v>1640</v>
      </c>
      <c r="F1216">
        <v>977</v>
      </c>
      <c r="G1216" s="1">
        <v>0.59570000000000001</v>
      </c>
      <c r="H1216">
        <v>3</v>
      </c>
      <c r="I1216">
        <v>1630</v>
      </c>
    </row>
    <row r="1217" spans="1:9" x14ac:dyDescent="0.35">
      <c r="A1217" t="s">
        <v>9</v>
      </c>
      <c r="B1217" t="s">
        <v>970</v>
      </c>
      <c r="C1217" t="s">
        <v>1210</v>
      </c>
      <c r="D1217" t="str">
        <f>"142904"</f>
        <v>142904</v>
      </c>
      <c r="E1217">
        <v>3452</v>
      </c>
      <c r="F1217">
        <v>1985</v>
      </c>
      <c r="G1217" s="1">
        <v>0.57499999999999996</v>
      </c>
      <c r="H1217">
        <v>5</v>
      </c>
      <c r="I1217">
        <v>3417</v>
      </c>
    </row>
    <row r="1218" spans="1:9" x14ac:dyDescent="0.35">
      <c r="A1218" t="s">
        <v>9</v>
      </c>
      <c r="B1218" t="s">
        <v>970</v>
      </c>
      <c r="C1218" t="s">
        <v>1211</v>
      </c>
      <c r="D1218" t="str">
        <f>"142905"</f>
        <v>142905</v>
      </c>
      <c r="E1218">
        <v>4599</v>
      </c>
      <c r="F1218">
        <v>2727</v>
      </c>
      <c r="G1218" s="1">
        <v>0.59299999999999997</v>
      </c>
      <c r="H1218">
        <v>7</v>
      </c>
      <c r="I1218">
        <v>4541</v>
      </c>
    </row>
    <row r="1219" spans="1:9" x14ac:dyDescent="0.35">
      <c r="A1219" t="s">
        <v>9</v>
      </c>
      <c r="B1219" t="s">
        <v>970</v>
      </c>
      <c r="C1219" t="s">
        <v>1212</v>
      </c>
      <c r="D1219" t="str">
        <f>"142906"</f>
        <v>142906</v>
      </c>
      <c r="E1219">
        <v>3905</v>
      </c>
      <c r="F1219">
        <v>2432</v>
      </c>
      <c r="G1219" s="1">
        <v>0.62280000000000002</v>
      </c>
      <c r="H1219">
        <v>6</v>
      </c>
      <c r="I1219">
        <v>3872</v>
      </c>
    </row>
    <row r="1220" spans="1:9" x14ac:dyDescent="0.35">
      <c r="A1220" t="s">
        <v>9</v>
      </c>
      <c r="B1220" t="s">
        <v>970</v>
      </c>
      <c r="C1220" t="s">
        <v>1213</v>
      </c>
      <c r="D1220" t="str">
        <f>"142907"</f>
        <v>142907</v>
      </c>
      <c r="E1220">
        <v>2761</v>
      </c>
      <c r="F1220">
        <v>1516</v>
      </c>
      <c r="G1220" s="1">
        <v>0.54910000000000003</v>
      </c>
      <c r="H1220">
        <v>5</v>
      </c>
      <c r="I1220">
        <v>2745</v>
      </c>
    </row>
    <row r="1221" spans="1:9" x14ac:dyDescent="0.35">
      <c r="A1221" t="s">
        <v>9</v>
      </c>
      <c r="B1221" t="s">
        <v>970</v>
      </c>
      <c r="C1221" t="s">
        <v>1214</v>
      </c>
      <c r="D1221" t="str">
        <f>"142908"</f>
        <v>142908</v>
      </c>
      <c r="E1221">
        <v>4668</v>
      </c>
      <c r="F1221">
        <v>2838</v>
      </c>
      <c r="G1221" s="1">
        <v>0.60799999999999998</v>
      </c>
      <c r="H1221">
        <v>9</v>
      </c>
      <c r="I1221">
        <v>4622</v>
      </c>
    </row>
    <row r="1222" spans="1:9" x14ac:dyDescent="0.35">
      <c r="A1222" t="s">
        <v>9</v>
      </c>
      <c r="B1222" t="s">
        <v>970</v>
      </c>
      <c r="C1222" t="s">
        <v>1215</v>
      </c>
      <c r="D1222" t="str">
        <f>"142909"</f>
        <v>142909</v>
      </c>
      <c r="E1222">
        <v>3046</v>
      </c>
      <c r="F1222">
        <v>1845</v>
      </c>
      <c r="G1222" s="1">
        <v>0.60570000000000002</v>
      </c>
      <c r="H1222">
        <v>6</v>
      </c>
      <c r="I1222">
        <v>3025</v>
      </c>
    </row>
    <row r="1223" spans="1:9" x14ac:dyDescent="0.35">
      <c r="A1223" t="s">
        <v>9</v>
      </c>
      <c r="B1223" t="s">
        <v>970</v>
      </c>
      <c r="C1223" t="s">
        <v>1216</v>
      </c>
      <c r="D1223" t="str">
        <f>"143001"</f>
        <v>143001</v>
      </c>
      <c r="E1223">
        <v>4627</v>
      </c>
      <c r="F1223">
        <v>2492</v>
      </c>
      <c r="G1223" s="1">
        <v>0.53859999999999997</v>
      </c>
      <c r="H1223">
        <v>8</v>
      </c>
      <c r="I1223">
        <v>4599</v>
      </c>
    </row>
    <row r="1224" spans="1:9" x14ac:dyDescent="0.35">
      <c r="A1224" t="s">
        <v>9</v>
      </c>
      <c r="B1224" t="s">
        <v>970</v>
      </c>
      <c r="C1224" t="s">
        <v>1217</v>
      </c>
      <c r="D1224" t="str">
        <f>"143002"</f>
        <v>143002</v>
      </c>
      <c r="E1224">
        <v>3973</v>
      </c>
      <c r="F1224">
        <v>2340</v>
      </c>
      <c r="G1224" s="1">
        <v>0.58899999999999997</v>
      </c>
      <c r="H1224">
        <v>6</v>
      </c>
      <c r="I1224">
        <v>3949</v>
      </c>
    </row>
    <row r="1225" spans="1:9" x14ac:dyDescent="0.35">
      <c r="A1225" t="s">
        <v>9</v>
      </c>
      <c r="B1225" t="s">
        <v>970</v>
      </c>
      <c r="C1225" t="s">
        <v>1218</v>
      </c>
      <c r="D1225" t="str">
        <f>"143003"</f>
        <v>143003</v>
      </c>
      <c r="E1225">
        <v>2902</v>
      </c>
      <c r="F1225">
        <v>1482</v>
      </c>
      <c r="G1225" s="1">
        <v>0.51070000000000004</v>
      </c>
      <c r="H1225">
        <v>3</v>
      </c>
      <c r="I1225">
        <v>2899</v>
      </c>
    </row>
    <row r="1226" spans="1:9" x14ac:dyDescent="0.35">
      <c r="A1226" t="s">
        <v>9</v>
      </c>
      <c r="B1226" t="s">
        <v>970</v>
      </c>
      <c r="C1226" t="s">
        <v>1219</v>
      </c>
      <c r="D1226" t="str">
        <f>"143004"</f>
        <v>143004</v>
      </c>
      <c r="E1226">
        <v>4533</v>
      </c>
      <c r="F1226">
        <v>2697</v>
      </c>
      <c r="G1226" s="1">
        <v>0.59499999999999997</v>
      </c>
      <c r="H1226">
        <v>8</v>
      </c>
      <c r="I1226">
        <v>4519</v>
      </c>
    </row>
    <row r="1227" spans="1:9" x14ac:dyDescent="0.35">
      <c r="A1227" t="s">
        <v>9</v>
      </c>
      <c r="B1227" t="s">
        <v>970</v>
      </c>
      <c r="C1227" t="s">
        <v>1220</v>
      </c>
      <c r="D1227" t="str">
        <f>"143005"</f>
        <v>143005</v>
      </c>
      <c r="E1227">
        <v>13737</v>
      </c>
      <c r="F1227">
        <v>7850</v>
      </c>
      <c r="G1227" s="1">
        <v>0.57140000000000002</v>
      </c>
      <c r="H1227">
        <v>11</v>
      </c>
      <c r="I1227">
        <v>13634</v>
      </c>
    </row>
    <row r="1228" spans="1:9" x14ac:dyDescent="0.35">
      <c r="A1228" t="s">
        <v>9</v>
      </c>
      <c r="B1228" t="s">
        <v>970</v>
      </c>
      <c r="C1228" t="s">
        <v>1221</v>
      </c>
      <c r="D1228" t="str">
        <f>"143201"</f>
        <v>143201</v>
      </c>
      <c r="E1228">
        <v>16648</v>
      </c>
      <c r="F1228">
        <v>10169</v>
      </c>
      <c r="G1228" s="1">
        <v>0.61080000000000001</v>
      </c>
      <c r="H1228">
        <v>12</v>
      </c>
      <c r="I1228">
        <v>16556</v>
      </c>
    </row>
    <row r="1229" spans="1:9" x14ac:dyDescent="0.35">
      <c r="A1229" t="s">
        <v>9</v>
      </c>
      <c r="B1229" t="s">
        <v>970</v>
      </c>
      <c r="C1229" t="s">
        <v>1222</v>
      </c>
      <c r="D1229" t="str">
        <f>"143202"</f>
        <v>143202</v>
      </c>
      <c r="E1229">
        <v>8290</v>
      </c>
      <c r="F1229">
        <v>5660</v>
      </c>
      <c r="G1229" s="1">
        <v>0.68279999999999996</v>
      </c>
      <c r="H1229">
        <v>5</v>
      </c>
      <c r="I1229">
        <v>8086</v>
      </c>
    </row>
    <row r="1230" spans="1:9" x14ac:dyDescent="0.35">
      <c r="A1230" t="s">
        <v>9</v>
      </c>
      <c r="B1230" t="s">
        <v>970</v>
      </c>
      <c r="C1230" t="s">
        <v>1223</v>
      </c>
      <c r="D1230" t="str">
        <f>"143203"</f>
        <v>143203</v>
      </c>
      <c r="E1230">
        <v>3558</v>
      </c>
      <c r="F1230">
        <v>2304</v>
      </c>
      <c r="G1230" s="1">
        <v>0.64759999999999995</v>
      </c>
      <c r="H1230">
        <v>2</v>
      </c>
      <c r="I1230">
        <v>3524</v>
      </c>
    </row>
    <row r="1231" spans="1:9" x14ac:dyDescent="0.35">
      <c r="A1231" t="s">
        <v>9</v>
      </c>
      <c r="B1231" t="s">
        <v>970</v>
      </c>
      <c r="C1231" t="s">
        <v>1224</v>
      </c>
      <c r="D1231" t="str">
        <f>"143204"</f>
        <v>143204</v>
      </c>
      <c r="E1231">
        <v>8099</v>
      </c>
      <c r="F1231">
        <v>4818</v>
      </c>
      <c r="G1231" s="1">
        <v>0.59489999999999998</v>
      </c>
      <c r="H1231">
        <v>7</v>
      </c>
      <c r="I1231">
        <v>7958</v>
      </c>
    </row>
    <row r="1232" spans="1:9" x14ac:dyDescent="0.35">
      <c r="A1232" t="s">
        <v>9</v>
      </c>
      <c r="B1232" t="s">
        <v>970</v>
      </c>
      <c r="C1232" t="s">
        <v>1225</v>
      </c>
      <c r="D1232" t="str">
        <f>"143205"</f>
        <v>143205</v>
      </c>
      <c r="E1232">
        <v>21891</v>
      </c>
      <c r="F1232">
        <v>15116</v>
      </c>
      <c r="G1232" s="1">
        <v>0.6905</v>
      </c>
      <c r="H1232">
        <v>13</v>
      </c>
      <c r="I1232">
        <v>21421</v>
      </c>
    </row>
    <row r="1233" spans="1:9" x14ac:dyDescent="0.35">
      <c r="A1233" t="s">
        <v>9</v>
      </c>
      <c r="B1233" t="s">
        <v>970</v>
      </c>
      <c r="C1233" t="s">
        <v>1226</v>
      </c>
      <c r="D1233" t="str">
        <f>"143206"</f>
        <v>143206</v>
      </c>
      <c r="E1233">
        <v>20686</v>
      </c>
      <c r="F1233">
        <v>13960</v>
      </c>
      <c r="G1233" s="1">
        <v>0.67490000000000006</v>
      </c>
      <c r="H1233">
        <v>21</v>
      </c>
      <c r="I1233">
        <v>20356</v>
      </c>
    </row>
    <row r="1234" spans="1:9" x14ac:dyDescent="0.35">
      <c r="A1234" t="s">
        <v>9</v>
      </c>
      <c r="B1234" t="s">
        <v>970</v>
      </c>
      <c r="C1234" t="s">
        <v>1227</v>
      </c>
      <c r="D1234" t="str">
        <f>"143207"</f>
        <v>143207</v>
      </c>
      <c r="E1234">
        <v>15554</v>
      </c>
      <c r="F1234">
        <v>10423</v>
      </c>
      <c r="G1234" s="1">
        <v>0.67010000000000003</v>
      </c>
      <c r="H1234">
        <v>8</v>
      </c>
      <c r="I1234">
        <v>15210</v>
      </c>
    </row>
    <row r="1235" spans="1:9" x14ac:dyDescent="0.35">
      <c r="A1235" t="s">
        <v>9</v>
      </c>
      <c r="B1235" t="s">
        <v>970</v>
      </c>
      <c r="C1235" t="s">
        <v>1228</v>
      </c>
      <c r="D1235" t="str">
        <f>"143301"</f>
        <v>143301</v>
      </c>
      <c r="E1235">
        <v>9525</v>
      </c>
      <c r="F1235">
        <v>5497</v>
      </c>
      <c r="G1235" s="1">
        <v>0.57709999999999995</v>
      </c>
      <c r="H1235">
        <v>5</v>
      </c>
      <c r="I1235">
        <v>9439</v>
      </c>
    </row>
    <row r="1236" spans="1:9" x14ac:dyDescent="0.35">
      <c r="A1236" t="s">
        <v>9</v>
      </c>
      <c r="B1236" t="s">
        <v>970</v>
      </c>
      <c r="C1236" t="s">
        <v>1229</v>
      </c>
      <c r="D1236" t="str">
        <f>"143302"</f>
        <v>143302</v>
      </c>
      <c r="E1236">
        <v>3414</v>
      </c>
      <c r="F1236">
        <v>1778</v>
      </c>
      <c r="G1236" s="1">
        <v>0.52080000000000004</v>
      </c>
      <c r="H1236">
        <v>4</v>
      </c>
      <c r="I1236">
        <v>3404</v>
      </c>
    </row>
    <row r="1237" spans="1:9" x14ac:dyDescent="0.35">
      <c r="A1237" t="s">
        <v>9</v>
      </c>
      <c r="B1237" t="s">
        <v>970</v>
      </c>
      <c r="C1237" t="s">
        <v>1230</v>
      </c>
      <c r="D1237" t="str">
        <f>"143303"</f>
        <v>143303</v>
      </c>
      <c r="E1237">
        <v>4661</v>
      </c>
      <c r="F1237">
        <v>2663</v>
      </c>
      <c r="G1237" s="1">
        <v>0.57130000000000003</v>
      </c>
      <c r="H1237">
        <v>5</v>
      </c>
      <c r="I1237">
        <v>4635</v>
      </c>
    </row>
    <row r="1238" spans="1:9" x14ac:dyDescent="0.35">
      <c r="A1238" t="s">
        <v>9</v>
      </c>
      <c r="B1238" t="s">
        <v>970</v>
      </c>
      <c r="C1238" t="s">
        <v>1231</v>
      </c>
      <c r="D1238" t="str">
        <f>"143304"</f>
        <v>143304</v>
      </c>
      <c r="E1238">
        <v>5611</v>
      </c>
      <c r="F1238">
        <v>3466</v>
      </c>
      <c r="G1238" s="1">
        <v>0.61770000000000003</v>
      </c>
      <c r="H1238">
        <v>11</v>
      </c>
      <c r="I1238">
        <v>5570</v>
      </c>
    </row>
    <row r="1239" spans="1:9" x14ac:dyDescent="0.35">
      <c r="A1239" t="s">
        <v>9</v>
      </c>
      <c r="B1239" t="s">
        <v>970</v>
      </c>
      <c r="C1239" t="s">
        <v>1232</v>
      </c>
      <c r="D1239" t="str">
        <f>"143305"</f>
        <v>143305</v>
      </c>
      <c r="E1239">
        <v>13831</v>
      </c>
      <c r="F1239">
        <v>8273</v>
      </c>
      <c r="G1239" s="1">
        <v>0.59809999999999997</v>
      </c>
      <c r="H1239">
        <v>21</v>
      </c>
      <c r="I1239">
        <v>13640</v>
      </c>
    </row>
    <row r="1240" spans="1:9" x14ac:dyDescent="0.35">
      <c r="A1240" t="s">
        <v>9</v>
      </c>
      <c r="B1240" t="s">
        <v>970</v>
      </c>
      <c r="C1240" t="s">
        <v>1233</v>
      </c>
      <c r="D1240" t="str">
        <f>"143306"</f>
        <v>143306</v>
      </c>
      <c r="E1240">
        <v>2989</v>
      </c>
      <c r="F1240">
        <v>1781</v>
      </c>
      <c r="G1240" s="1">
        <v>0.59589999999999999</v>
      </c>
      <c r="H1240">
        <v>5</v>
      </c>
      <c r="I1240">
        <v>2967</v>
      </c>
    </row>
    <row r="1241" spans="1:9" x14ac:dyDescent="0.35">
      <c r="A1241" t="s">
        <v>9</v>
      </c>
      <c r="B1241" t="s">
        <v>970</v>
      </c>
      <c r="C1241" t="s">
        <v>1234</v>
      </c>
      <c r="D1241" t="str">
        <f>"143307"</f>
        <v>143307</v>
      </c>
      <c r="E1241">
        <v>4571</v>
      </c>
      <c r="F1241">
        <v>2797</v>
      </c>
      <c r="G1241" s="1">
        <v>0.6119</v>
      </c>
      <c r="H1241">
        <v>6</v>
      </c>
      <c r="I1241">
        <v>4539</v>
      </c>
    </row>
    <row r="1242" spans="1:9" x14ac:dyDescent="0.35">
      <c r="A1242" t="s">
        <v>9</v>
      </c>
      <c r="B1242" t="s">
        <v>970</v>
      </c>
      <c r="C1242" t="s">
        <v>1235</v>
      </c>
      <c r="D1242" t="str">
        <f>"143308"</f>
        <v>143308</v>
      </c>
      <c r="E1242">
        <v>3813</v>
      </c>
      <c r="F1242">
        <v>2179</v>
      </c>
      <c r="G1242" s="1">
        <v>0.57150000000000001</v>
      </c>
      <c r="H1242">
        <v>8</v>
      </c>
      <c r="I1242">
        <v>3788</v>
      </c>
    </row>
    <row r="1243" spans="1:9" x14ac:dyDescent="0.35">
      <c r="A1243" t="s">
        <v>9</v>
      </c>
      <c r="B1243" t="s">
        <v>970</v>
      </c>
      <c r="C1243" t="s">
        <v>1236</v>
      </c>
      <c r="D1243" t="str">
        <f>"143309"</f>
        <v>143309</v>
      </c>
      <c r="E1243">
        <v>2118</v>
      </c>
      <c r="F1243">
        <v>1158</v>
      </c>
      <c r="G1243" s="1">
        <v>0.54669999999999996</v>
      </c>
      <c r="H1243">
        <v>4</v>
      </c>
      <c r="I1243">
        <v>2106</v>
      </c>
    </row>
    <row r="1244" spans="1:9" x14ac:dyDescent="0.35">
      <c r="A1244" t="s">
        <v>9</v>
      </c>
      <c r="B1244" t="s">
        <v>970</v>
      </c>
      <c r="C1244" t="s">
        <v>1237</v>
      </c>
      <c r="D1244" t="str">
        <f>"143401"</f>
        <v>143401</v>
      </c>
      <c r="E1244">
        <v>19200</v>
      </c>
      <c r="F1244">
        <v>12215</v>
      </c>
      <c r="G1244" s="1">
        <v>0.63619999999999999</v>
      </c>
      <c r="H1244">
        <v>15</v>
      </c>
      <c r="I1244">
        <v>19061</v>
      </c>
    </row>
    <row r="1245" spans="1:9" x14ac:dyDescent="0.35">
      <c r="A1245" t="s">
        <v>9</v>
      </c>
      <c r="B1245" t="s">
        <v>970</v>
      </c>
      <c r="C1245" t="s">
        <v>1238</v>
      </c>
      <c r="D1245" t="str">
        <f>"143402"</f>
        <v>143402</v>
      </c>
      <c r="E1245">
        <v>28524</v>
      </c>
      <c r="F1245">
        <v>17539</v>
      </c>
      <c r="G1245" s="1">
        <v>0.6149</v>
      </c>
      <c r="H1245">
        <v>14</v>
      </c>
      <c r="I1245">
        <v>28292</v>
      </c>
    </row>
    <row r="1246" spans="1:9" x14ac:dyDescent="0.35">
      <c r="A1246" t="s">
        <v>9</v>
      </c>
      <c r="B1246" t="s">
        <v>970</v>
      </c>
      <c r="C1246" t="s">
        <v>1239</v>
      </c>
      <c r="D1246" t="str">
        <f>"143403"</f>
        <v>143403</v>
      </c>
      <c r="E1246">
        <v>27732</v>
      </c>
      <c r="F1246">
        <v>14192</v>
      </c>
      <c r="G1246" s="1">
        <v>0.51180000000000003</v>
      </c>
      <c r="H1246">
        <v>14</v>
      </c>
      <c r="I1246">
        <v>27363</v>
      </c>
    </row>
    <row r="1247" spans="1:9" x14ac:dyDescent="0.35">
      <c r="A1247" t="s">
        <v>9</v>
      </c>
      <c r="B1247" t="s">
        <v>970</v>
      </c>
      <c r="C1247" t="s">
        <v>1240</v>
      </c>
      <c r="D1247" t="str">
        <f>"143404"</f>
        <v>143404</v>
      </c>
      <c r="E1247">
        <v>13620</v>
      </c>
      <c r="F1247">
        <v>8935</v>
      </c>
      <c r="G1247" s="1">
        <v>0.65600000000000003</v>
      </c>
      <c r="H1247">
        <v>15</v>
      </c>
      <c r="I1247">
        <v>13445</v>
      </c>
    </row>
    <row r="1248" spans="1:9" x14ac:dyDescent="0.35">
      <c r="A1248" t="s">
        <v>9</v>
      </c>
      <c r="B1248" t="s">
        <v>970</v>
      </c>
      <c r="C1248" t="s">
        <v>1241</v>
      </c>
      <c r="D1248" t="str">
        <f>"143405"</f>
        <v>143405</v>
      </c>
      <c r="E1248">
        <v>6428</v>
      </c>
      <c r="F1248">
        <v>4274</v>
      </c>
      <c r="G1248" s="1">
        <v>0.66490000000000005</v>
      </c>
      <c r="H1248">
        <v>12</v>
      </c>
      <c r="I1248">
        <v>6278</v>
      </c>
    </row>
    <row r="1249" spans="1:9" x14ac:dyDescent="0.35">
      <c r="A1249" t="s">
        <v>9</v>
      </c>
      <c r="B1249" t="s">
        <v>970</v>
      </c>
      <c r="C1249" t="s">
        <v>1242</v>
      </c>
      <c r="D1249" t="str">
        <f>"143406"</f>
        <v>143406</v>
      </c>
      <c r="E1249">
        <v>5941</v>
      </c>
      <c r="F1249">
        <v>3537</v>
      </c>
      <c r="G1249" s="1">
        <v>0.59540000000000004</v>
      </c>
      <c r="H1249">
        <v>10</v>
      </c>
      <c r="I1249">
        <v>5849</v>
      </c>
    </row>
    <row r="1250" spans="1:9" x14ac:dyDescent="0.35">
      <c r="A1250" t="s">
        <v>9</v>
      </c>
      <c r="B1250" t="s">
        <v>970</v>
      </c>
      <c r="C1250" t="s">
        <v>1243</v>
      </c>
      <c r="D1250" t="str">
        <f>"143407"</f>
        <v>143407</v>
      </c>
      <c r="E1250">
        <v>8186</v>
      </c>
      <c r="F1250">
        <v>5018</v>
      </c>
      <c r="G1250" s="1">
        <v>0.61299999999999999</v>
      </c>
      <c r="H1250">
        <v>10</v>
      </c>
      <c r="I1250">
        <v>8119</v>
      </c>
    </row>
    <row r="1251" spans="1:9" x14ac:dyDescent="0.35">
      <c r="A1251" t="s">
        <v>9</v>
      </c>
      <c r="B1251" t="s">
        <v>970</v>
      </c>
      <c r="C1251" t="s">
        <v>673</v>
      </c>
      <c r="D1251" t="str">
        <f>"143408"</f>
        <v>143408</v>
      </c>
      <c r="E1251">
        <v>4959</v>
      </c>
      <c r="F1251">
        <v>2926</v>
      </c>
      <c r="G1251" s="1">
        <v>0.59</v>
      </c>
      <c r="H1251">
        <v>7</v>
      </c>
      <c r="I1251">
        <v>4931</v>
      </c>
    </row>
    <row r="1252" spans="1:9" x14ac:dyDescent="0.35">
      <c r="A1252" t="s">
        <v>9</v>
      </c>
      <c r="B1252" t="s">
        <v>970</v>
      </c>
      <c r="C1252" t="s">
        <v>1244</v>
      </c>
      <c r="D1252" t="str">
        <f>"143409"</f>
        <v>143409</v>
      </c>
      <c r="E1252">
        <v>21536</v>
      </c>
      <c r="F1252">
        <v>12829</v>
      </c>
      <c r="G1252" s="1">
        <v>0.59570000000000001</v>
      </c>
      <c r="H1252">
        <v>11</v>
      </c>
      <c r="I1252">
        <v>21041</v>
      </c>
    </row>
    <row r="1253" spans="1:9" x14ac:dyDescent="0.35">
      <c r="A1253" t="s">
        <v>9</v>
      </c>
      <c r="B1253" t="s">
        <v>970</v>
      </c>
      <c r="C1253" t="s">
        <v>1245</v>
      </c>
      <c r="D1253" t="str">
        <f>"143410"</f>
        <v>143410</v>
      </c>
      <c r="E1253">
        <v>2165</v>
      </c>
      <c r="F1253">
        <v>1197</v>
      </c>
      <c r="G1253" s="1">
        <v>0.55289999999999995</v>
      </c>
      <c r="H1253">
        <v>5</v>
      </c>
      <c r="I1253">
        <v>2139</v>
      </c>
    </row>
    <row r="1254" spans="1:9" x14ac:dyDescent="0.35">
      <c r="A1254" t="s">
        <v>9</v>
      </c>
      <c r="B1254" t="s">
        <v>970</v>
      </c>
      <c r="C1254" t="s">
        <v>1246</v>
      </c>
      <c r="D1254" t="str">
        <f>"143411"</f>
        <v>143411</v>
      </c>
      <c r="E1254">
        <v>15409</v>
      </c>
      <c r="F1254">
        <v>9213</v>
      </c>
      <c r="G1254" s="1">
        <v>0.59789999999999999</v>
      </c>
      <c r="H1254">
        <v>16</v>
      </c>
      <c r="I1254">
        <v>15349</v>
      </c>
    </row>
    <row r="1255" spans="1:9" x14ac:dyDescent="0.35">
      <c r="A1255" t="s">
        <v>9</v>
      </c>
      <c r="B1255" t="s">
        <v>970</v>
      </c>
      <c r="C1255" t="s">
        <v>1247</v>
      </c>
      <c r="D1255" t="str">
        <f>"143412"</f>
        <v>143412</v>
      </c>
      <c r="E1255">
        <v>38392</v>
      </c>
      <c r="F1255">
        <v>24165</v>
      </c>
      <c r="G1255" s="1">
        <v>0.62939999999999996</v>
      </c>
      <c r="H1255">
        <v>31</v>
      </c>
      <c r="I1255">
        <v>38094</v>
      </c>
    </row>
    <row r="1256" spans="1:9" x14ac:dyDescent="0.35">
      <c r="A1256" t="s">
        <v>9</v>
      </c>
      <c r="B1256" t="s">
        <v>970</v>
      </c>
      <c r="C1256" t="s">
        <v>1248</v>
      </c>
      <c r="D1256" t="str">
        <f>"143501"</f>
        <v>143501</v>
      </c>
      <c r="E1256">
        <v>6307</v>
      </c>
      <c r="F1256">
        <v>3531</v>
      </c>
      <c r="G1256" s="1">
        <v>0.55989999999999995</v>
      </c>
      <c r="H1256">
        <v>7</v>
      </c>
      <c r="I1256">
        <v>6266</v>
      </c>
    </row>
    <row r="1257" spans="1:9" x14ac:dyDescent="0.35">
      <c r="A1257" t="s">
        <v>9</v>
      </c>
      <c r="B1257" t="s">
        <v>970</v>
      </c>
      <c r="C1257" t="s">
        <v>1249</v>
      </c>
      <c r="D1257" t="str">
        <f>"143502"</f>
        <v>143502</v>
      </c>
      <c r="E1257">
        <v>6038</v>
      </c>
      <c r="F1257">
        <v>3570</v>
      </c>
      <c r="G1257" s="1">
        <v>0.59130000000000005</v>
      </c>
      <c r="H1257">
        <v>6</v>
      </c>
      <c r="I1257">
        <v>5967</v>
      </c>
    </row>
    <row r="1258" spans="1:9" x14ac:dyDescent="0.35">
      <c r="A1258" t="s">
        <v>9</v>
      </c>
      <c r="B1258" t="s">
        <v>970</v>
      </c>
      <c r="C1258" t="s">
        <v>1250</v>
      </c>
      <c r="D1258" t="str">
        <f>"143503"</f>
        <v>143503</v>
      </c>
      <c r="E1258">
        <v>5413</v>
      </c>
      <c r="F1258">
        <v>3013</v>
      </c>
      <c r="G1258" s="1">
        <v>0.55659999999999998</v>
      </c>
      <c r="H1258">
        <v>9</v>
      </c>
      <c r="I1258">
        <v>5343</v>
      </c>
    </row>
    <row r="1259" spans="1:9" x14ac:dyDescent="0.35">
      <c r="A1259" t="s">
        <v>9</v>
      </c>
      <c r="B1259" t="s">
        <v>970</v>
      </c>
      <c r="C1259" t="s">
        <v>1251</v>
      </c>
      <c r="D1259" t="str">
        <f>"143504"</f>
        <v>143504</v>
      </c>
      <c r="E1259">
        <v>4518</v>
      </c>
      <c r="F1259">
        <v>2543</v>
      </c>
      <c r="G1259" s="1">
        <v>0.56289999999999996</v>
      </c>
      <c r="H1259">
        <v>6</v>
      </c>
      <c r="I1259">
        <v>4440</v>
      </c>
    </row>
    <row r="1260" spans="1:9" x14ac:dyDescent="0.35">
      <c r="A1260" t="s">
        <v>9</v>
      </c>
      <c r="B1260" t="s">
        <v>970</v>
      </c>
      <c r="C1260" t="s">
        <v>1252</v>
      </c>
      <c r="D1260" t="str">
        <f>"143505"</f>
        <v>143505</v>
      </c>
      <c r="E1260">
        <v>30735</v>
      </c>
      <c r="F1260">
        <v>18582</v>
      </c>
      <c r="G1260" s="1">
        <v>0.60460000000000003</v>
      </c>
      <c r="H1260">
        <v>28</v>
      </c>
      <c r="I1260">
        <v>30239</v>
      </c>
    </row>
    <row r="1261" spans="1:9" x14ac:dyDescent="0.35">
      <c r="A1261" t="s">
        <v>9</v>
      </c>
      <c r="B1261" t="s">
        <v>970</v>
      </c>
      <c r="C1261" t="s">
        <v>1253</v>
      </c>
      <c r="D1261" t="str">
        <f>"143506"</f>
        <v>143506</v>
      </c>
      <c r="E1261">
        <v>4818</v>
      </c>
      <c r="F1261">
        <v>3004</v>
      </c>
      <c r="G1261" s="1">
        <v>0.62350000000000005</v>
      </c>
      <c r="H1261">
        <v>5</v>
      </c>
      <c r="I1261">
        <v>4706</v>
      </c>
    </row>
    <row r="1262" spans="1:9" x14ac:dyDescent="0.35">
      <c r="A1262" t="s">
        <v>9</v>
      </c>
      <c r="B1262" t="s">
        <v>970</v>
      </c>
      <c r="C1262" t="s">
        <v>1254</v>
      </c>
      <c r="D1262" t="str">
        <f>"143601"</f>
        <v>143601</v>
      </c>
      <c r="E1262">
        <v>3474</v>
      </c>
      <c r="F1262">
        <v>1942</v>
      </c>
      <c r="G1262" s="1">
        <v>0.55900000000000005</v>
      </c>
      <c r="H1262">
        <v>7</v>
      </c>
      <c r="I1262">
        <v>3440</v>
      </c>
    </row>
    <row r="1263" spans="1:9" x14ac:dyDescent="0.35">
      <c r="A1263" t="s">
        <v>9</v>
      </c>
      <c r="B1263" t="s">
        <v>970</v>
      </c>
      <c r="C1263" t="s">
        <v>1255</v>
      </c>
      <c r="D1263" t="str">
        <f>"143602"</f>
        <v>143602</v>
      </c>
      <c r="E1263">
        <v>4397</v>
      </c>
      <c r="F1263">
        <v>2376</v>
      </c>
      <c r="G1263" s="1">
        <v>0.54039999999999999</v>
      </c>
      <c r="H1263">
        <v>7</v>
      </c>
      <c r="I1263">
        <v>4368</v>
      </c>
    </row>
    <row r="1264" spans="1:9" x14ac:dyDescent="0.35">
      <c r="A1264" t="s">
        <v>9</v>
      </c>
      <c r="B1264" t="s">
        <v>970</v>
      </c>
      <c r="C1264" t="s">
        <v>1256</v>
      </c>
      <c r="D1264" t="str">
        <f>"143603"</f>
        <v>143603</v>
      </c>
      <c r="E1264">
        <v>4700</v>
      </c>
      <c r="F1264">
        <v>2568</v>
      </c>
      <c r="G1264" s="1">
        <v>0.5464</v>
      </c>
      <c r="H1264">
        <v>10</v>
      </c>
      <c r="I1264">
        <v>4650</v>
      </c>
    </row>
    <row r="1265" spans="1:9" x14ac:dyDescent="0.35">
      <c r="A1265" t="s">
        <v>9</v>
      </c>
      <c r="B1265" t="s">
        <v>970</v>
      </c>
      <c r="C1265" t="s">
        <v>1257</v>
      </c>
      <c r="D1265" t="str">
        <f>"143604"</f>
        <v>143604</v>
      </c>
      <c r="E1265">
        <v>3708</v>
      </c>
      <c r="F1265">
        <v>2030</v>
      </c>
      <c r="G1265" s="1">
        <v>0.54749999999999999</v>
      </c>
      <c r="H1265">
        <v>5</v>
      </c>
      <c r="I1265">
        <v>3690</v>
      </c>
    </row>
    <row r="1266" spans="1:9" x14ac:dyDescent="0.35">
      <c r="A1266" t="s">
        <v>9</v>
      </c>
      <c r="B1266" t="s">
        <v>970</v>
      </c>
      <c r="C1266" t="s">
        <v>1258</v>
      </c>
      <c r="D1266" t="str">
        <f>"143605"</f>
        <v>143605</v>
      </c>
      <c r="E1266">
        <v>11264</v>
      </c>
      <c r="F1266">
        <v>6063</v>
      </c>
      <c r="G1266" s="1">
        <v>0.5383</v>
      </c>
      <c r="H1266">
        <v>13</v>
      </c>
      <c r="I1266">
        <v>11187</v>
      </c>
    </row>
    <row r="1267" spans="1:9" x14ac:dyDescent="0.35">
      <c r="A1267" t="s">
        <v>9</v>
      </c>
      <c r="B1267" t="s">
        <v>970</v>
      </c>
      <c r="C1267" t="s">
        <v>1259</v>
      </c>
      <c r="D1267" t="str">
        <f>"143701"</f>
        <v>143701</v>
      </c>
      <c r="E1267">
        <v>3670</v>
      </c>
      <c r="F1267">
        <v>2025</v>
      </c>
      <c r="G1267" s="1">
        <v>0.55179999999999996</v>
      </c>
      <c r="H1267">
        <v>3</v>
      </c>
      <c r="I1267">
        <v>3663</v>
      </c>
    </row>
    <row r="1268" spans="1:9" x14ac:dyDescent="0.35">
      <c r="A1268" t="s">
        <v>9</v>
      </c>
      <c r="B1268" t="s">
        <v>970</v>
      </c>
      <c r="C1268" t="s">
        <v>1260</v>
      </c>
      <c r="D1268" t="str">
        <f>"143702"</f>
        <v>143702</v>
      </c>
      <c r="E1268">
        <v>3530</v>
      </c>
      <c r="F1268">
        <v>1865</v>
      </c>
      <c r="G1268" s="1">
        <v>0.52829999999999999</v>
      </c>
      <c r="H1268">
        <v>4</v>
      </c>
      <c r="I1268">
        <v>3507</v>
      </c>
    </row>
    <row r="1269" spans="1:9" x14ac:dyDescent="0.35">
      <c r="A1269" t="s">
        <v>9</v>
      </c>
      <c r="B1269" t="s">
        <v>970</v>
      </c>
      <c r="C1269" t="s">
        <v>1261</v>
      </c>
      <c r="D1269" t="str">
        <f>"143703"</f>
        <v>143703</v>
      </c>
      <c r="E1269">
        <v>5094</v>
      </c>
      <c r="F1269">
        <v>2678</v>
      </c>
      <c r="G1269" s="1">
        <v>0.52569999999999995</v>
      </c>
      <c r="H1269">
        <v>4</v>
      </c>
      <c r="I1269">
        <v>5010</v>
      </c>
    </row>
    <row r="1270" spans="1:9" x14ac:dyDescent="0.35">
      <c r="A1270" t="s">
        <v>9</v>
      </c>
      <c r="B1270" t="s">
        <v>970</v>
      </c>
      <c r="C1270" t="s">
        <v>1262</v>
      </c>
      <c r="D1270" t="str">
        <f>"143704"</f>
        <v>143704</v>
      </c>
      <c r="E1270">
        <v>3261</v>
      </c>
      <c r="F1270">
        <v>1732</v>
      </c>
      <c r="G1270" s="1">
        <v>0.53110000000000002</v>
      </c>
      <c r="H1270">
        <v>5</v>
      </c>
      <c r="I1270">
        <v>3258</v>
      </c>
    </row>
    <row r="1271" spans="1:9" x14ac:dyDescent="0.35">
      <c r="A1271" t="s">
        <v>9</v>
      </c>
      <c r="B1271" t="s">
        <v>970</v>
      </c>
      <c r="C1271" t="s">
        <v>1263</v>
      </c>
      <c r="D1271" t="str">
        <f>"143705"</f>
        <v>143705</v>
      </c>
      <c r="E1271">
        <v>2604</v>
      </c>
      <c r="F1271">
        <v>1397</v>
      </c>
      <c r="G1271" s="1">
        <v>0.53649999999999998</v>
      </c>
      <c r="H1271">
        <v>5</v>
      </c>
      <c r="I1271">
        <v>2570</v>
      </c>
    </row>
    <row r="1272" spans="1:9" x14ac:dyDescent="0.35">
      <c r="A1272" t="s">
        <v>9</v>
      </c>
      <c r="B1272" t="s">
        <v>970</v>
      </c>
      <c r="C1272" t="s">
        <v>1264</v>
      </c>
      <c r="D1272" t="str">
        <f>"143706"</f>
        <v>143706</v>
      </c>
      <c r="E1272">
        <v>10430</v>
      </c>
      <c r="F1272">
        <v>5922</v>
      </c>
      <c r="G1272" s="1">
        <v>0.56779999999999997</v>
      </c>
      <c r="H1272">
        <v>13</v>
      </c>
      <c r="I1272">
        <v>10396</v>
      </c>
    </row>
    <row r="1273" spans="1:9" x14ac:dyDescent="0.35">
      <c r="A1273" t="s">
        <v>9</v>
      </c>
      <c r="B1273" t="s">
        <v>970</v>
      </c>
      <c r="C1273" t="s">
        <v>1265</v>
      </c>
      <c r="D1273" t="str">
        <f>"143801"</f>
        <v>143801</v>
      </c>
      <c r="E1273">
        <v>29981</v>
      </c>
      <c r="F1273">
        <v>18217</v>
      </c>
      <c r="G1273" s="1">
        <v>0.60760000000000003</v>
      </c>
      <c r="H1273">
        <v>21</v>
      </c>
      <c r="I1273">
        <v>29349</v>
      </c>
    </row>
    <row r="1274" spans="1:9" x14ac:dyDescent="0.35">
      <c r="A1274" t="s">
        <v>9</v>
      </c>
      <c r="B1274" t="s">
        <v>970</v>
      </c>
      <c r="C1274" t="s">
        <v>1266</v>
      </c>
      <c r="D1274" t="str">
        <f>"143802"</f>
        <v>143802</v>
      </c>
      <c r="E1274">
        <v>9054</v>
      </c>
      <c r="F1274">
        <v>5539</v>
      </c>
      <c r="G1274" s="1">
        <v>0.61180000000000001</v>
      </c>
      <c r="H1274">
        <v>14</v>
      </c>
      <c r="I1274">
        <v>8892</v>
      </c>
    </row>
    <row r="1275" spans="1:9" x14ac:dyDescent="0.35">
      <c r="A1275" t="s">
        <v>9</v>
      </c>
      <c r="B1275" t="s">
        <v>970</v>
      </c>
      <c r="C1275" t="s">
        <v>1267</v>
      </c>
      <c r="D1275" t="str">
        <f>"143803"</f>
        <v>143803</v>
      </c>
      <c r="E1275">
        <v>6757</v>
      </c>
      <c r="F1275">
        <v>3963</v>
      </c>
      <c r="G1275" s="1">
        <v>0.58650000000000002</v>
      </c>
      <c r="H1275">
        <v>8</v>
      </c>
      <c r="I1275">
        <v>6730</v>
      </c>
    </row>
    <row r="1276" spans="1:9" x14ac:dyDescent="0.35">
      <c r="A1276" t="s">
        <v>9</v>
      </c>
      <c r="B1276" t="s">
        <v>970</v>
      </c>
      <c r="C1276" t="s">
        <v>1268</v>
      </c>
      <c r="D1276" t="str">
        <f>"143804"</f>
        <v>143804</v>
      </c>
      <c r="E1276">
        <v>5183</v>
      </c>
      <c r="F1276">
        <v>3364</v>
      </c>
      <c r="G1276" s="1">
        <v>0.64900000000000002</v>
      </c>
      <c r="H1276">
        <v>5</v>
      </c>
      <c r="I1276">
        <v>4928</v>
      </c>
    </row>
    <row r="1277" spans="1:9" x14ac:dyDescent="0.35">
      <c r="A1277" t="s">
        <v>9</v>
      </c>
      <c r="B1277" t="s">
        <v>970</v>
      </c>
      <c r="C1277" t="s">
        <v>1269</v>
      </c>
      <c r="D1277" t="str">
        <f>"143805"</f>
        <v>143805</v>
      </c>
      <c r="E1277">
        <v>7850</v>
      </c>
      <c r="F1277">
        <v>4677</v>
      </c>
      <c r="G1277" s="1">
        <v>0.5958</v>
      </c>
      <c r="H1277">
        <v>11</v>
      </c>
      <c r="I1277">
        <v>7779</v>
      </c>
    </row>
    <row r="1278" spans="1:9" x14ac:dyDescent="0.35">
      <c r="A1278" t="s">
        <v>9</v>
      </c>
      <c r="B1278" t="s">
        <v>970</v>
      </c>
      <c r="C1278" t="s">
        <v>1270</v>
      </c>
      <c r="D1278" t="str">
        <f>"146101"</f>
        <v>146101</v>
      </c>
      <c r="E1278">
        <v>36803</v>
      </c>
      <c r="F1278">
        <v>20467</v>
      </c>
      <c r="G1278" s="1">
        <v>0.55610000000000004</v>
      </c>
      <c r="H1278">
        <v>25</v>
      </c>
      <c r="I1278">
        <v>36508</v>
      </c>
    </row>
    <row r="1279" spans="1:9" x14ac:dyDescent="0.35">
      <c r="A1279" t="s">
        <v>9</v>
      </c>
      <c r="B1279" t="s">
        <v>970</v>
      </c>
      <c r="C1279" t="s">
        <v>1271</v>
      </c>
      <c r="D1279" t="str">
        <f>"146201"</f>
        <v>146201</v>
      </c>
      <c r="E1279">
        <v>85455</v>
      </c>
      <c r="F1279">
        <v>50608</v>
      </c>
      <c r="G1279" s="1">
        <v>0.59219999999999995</v>
      </c>
      <c r="H1279">
        <v>67</v>
      </c>
      <c r="I1279">
        <v>84929</v>
      </c>
    </row>
    <row r="1280" spans="1:9" x14ac:dyDescent="0.35">
      <c r="A1280" t="s">
        <v>9</v>
      </c>
      <c r="B1280" t="s">
        <v>970</v>
      </c>
      <c r="C1280" t="s">
        <v>1272</v>
      </c>
      <c r="D1280" t="str">
        <f>"146301"</f>
        <v>146301</v>
      </c>
      <c r="E1280">
        <v>148594</v>
      </c>
      <c r="F1280">
        <v>85124</v>
      </c>
      <c r="G1280" s="1">
        <v>0.57289999999999996</v>
      </c>
      <c r="H1280">
        <v>109</v>
      </c>
      <c r="I1280">
        <v>147396</v>
      </c>
    </row>
    <row r="1281" spans="1:9" x14ac:dyDescent="0.35">
      <c r="A1281" t="s">
        <v>9</v>
      </c>
      <c r="B1281" t="s">
        <v>970</v>
      </c>
      <c r="C1281" t="s">
        <v>1273</v>
      </c>
      <c r="D1281" t="str">
        <f>"146401"</f>
        <v>146401</v>
      </c>
      <c r="E1281">
        <v>55294</v>
      </c>
      <c r="F1281">
        <v>33016</v>
      </c>
      <c r="G1281" s="1">
        <v>0.59709999999999996</v>
      </c>
      <c r="H1281">
        <v>38</v>
      </c>
      <c r="I1281">
        <v>54851</v>
      </c>
    </row>
    <row r="1282" spans="1:9" x14ac:dyDescent="0.35">
      <c r="A1282" t="s">
        <v>9</v>
      </c>
      <c r="B1282" t="s">
        <v>970</v>
      </c>
      <c r="C1282" t="s">
        <v>1274</v>
      </c>
      <c r="D1282" t="str">
        <f>"146502"</f>
        <v>146502</v>
      </c>
      <c r="E1282">
        <v>92599</v>
      </c>
      <c r="F1282">
        <v>57868</v>
      </c>
      <c r="G1282" s="1">
        <v>0.62490000000000001</v>
      </c>
      <c r="H1282">
        <v>50</v>
      </c>
      <c r="I1282">
        <v>91684</v>
      </c>
    </row>
    <row r="1283" spans="1:9" x14ac:dyDescent="0.35">
      <c r="A1283" t="s">
        <v>9</v>
      </c>
      <c r="B1283" t="s">
        <v>970</v>
      </c>
      <c r="C1283" t="s">
        <v>1275</v>
      </c>
      <c r="D1283" t="str">
        <f>"146503"</f>
        <v>146503</v>
      </c>
      <c r="E1283">
        <v>98384</v>
      </c>
      <c r="F1283">
        <v>65479</v>
      </c>
      <c r="G1283" s="1">
        <v>0.66549999999999998</v>
      </c>
      <c r="H1283">
        <v>57</v>
      </c>
      <c r="I1283">
        <v>97095</v>
      </c>
    </row>
    <row r="1284" spans="1:9" x14ac:dyDescent="0.35">
      <c r="A1284" t="s">
        <v>9</v>
      </c>
      <c r="B1284" t="s">
        <v>970</v>
      </c>
      <c r="C1284" t="s">
        <v>1276</v>
      </c>
      <c r="D1284" t="str">
        <f>"146504"</f>
        <v>146504</v>
      </c>
      <c r="E1284">
        <v>98035</v>
      </c>
      <c r="F1284">
        <v>62733</v>
      </c>
      <c r="G1284" s="1">
        <v>0.63990000000000002</v>
      </c>
      <c r="H1284">
        <v>48</v>
      </c>
      <c r="I1284">
        <v>96002</v>
      </c>
    </row>
    <row r="1285" spans="1:9" x14ac:dyDescent="0.35">
      <c r="A1285" t="s">
        <v>9</v>
      </c>
      <c r="B1285" t="s">
        <v>970</v>
      </c>
      <c r="C1285" t="s">
        <v>1277</v>
      </c>
      <c r="D1285" t="str">
        <f>"146505"</f>
        <v>146505</v>
      </c>
      <c r="E1285">
        <v>161981</v>
      </c>
      <c r="F1285">
        <v>99469</v>
      </c>
      <c r="G1285" s="1">
        <v>0.61409999999999998</v>
      </c>
      <c r="H1285">
        <v>92</v>
      </c>
      <c r="I1285">
        <v>160938</v>
      </c>
    </row>
    <row r="1286" spans="1:9" x14ac:dyDescent="0.35">
      <c r="A1286" t="s">
        <v>9</v>
      </c>
      <c r="B1286" t="s">
        <v>970</v>
      </c>
      <c r="C1286" t="s">
        <v>1278</v>
      </c>
      <c r="D1286" t="str">
        <f>"146506"</f>
        <v>146506</v>
      </c>
      <c r="E1286">
        <v>59124</v>
      </c>
      <c r="F1286">
        <v>38046</v>
      </c>
      <c r="G1286" s="1">
        <v>0.64349999999999996</v>
      </c>
      <c r="H1286">
        <v>43</v>
      </c>
      <c r="I1286">
        <v>57587</v>
      </c>
    </row>
    <row r="1287" spans="1:9" x14ac:dyDescent="0.35">
      <c r="A1287" t="s">
        <v>9</v>
      </c>
      <c r="B1287" t="s">
        <v>970</v>
      </c>
      <c r="C1287" t="s">
        <v>1279</v>
      </c>
      <c r="D1287" t="str">
        <f>"146507"</f>
        <v>146507</v>
      </c>
      <c r="E1287">
        <v>137121</v>
      </c>
      <c r="F1287">
        <v>85859</v>
      </c>
      <c r="G1287" s="1">
        <v>0.62619999999999998</v>
      </c>
      <c r="H1287">
        <v>81</v>
      </c>
      <c r="I1287">
        <v>134945</v>
      </c>
    </row>
    <row r="1288" spans="1:9" x14ac:dyDescent="0.35">
      <c r="A1288" t="s">
        <v>9</v>
      </c>
      <c r="B1288" t="s">
        <v>970</v>
      </c>
      <c r="C1288" t="s">
        <v>1280</v>
      </c>
      <c r="D1288" t="str">
        <f>"146508"</f>
        <v>146508</v>
      </c>
      <c r="E1288">
        <v>45458</v>
      </c>
      <c r="F1288">
        <v>27927</v>
      </c>
      <c r="G1288" s="1">
        <v>0.61429999999999996</v>
      </c>
      <c r="H1288">
        <v>30</v>
      </c>
      <c r="I1288">
        <v>44758</v>
      </c>
    </row>
    <row r="1289" spans="1:9" x14ac:dyDescent="0.35">
      <c r="A1289" t="s">
        <v>9</v>
      </c>
      <c r="B1289" t="s">
        <v>970</v>
      </c>
      <c r="C1289" t="s">
        <v>1281</v>
      </c>
      <c r="D1289" t="str">
        <f>"146509"</f>
        <v>146509</v>
      </c>
      <c r="E1289">
        <v>18382</v>
      </c>
      <c r="F1289">
        <v>12667</v>
      </c>
      <c r="G1289" s="1">
        <v>0.68910000000000005</v>
      </c>
      <c r="H1289">
        <v>13</v>
      </c>
      <c r="I1289">
        <v>17998</v>
      </c>
    </row>
    <row r="1290" spans="1:9" x14ac:dyDescent="0.35">
      <c r="A1290" t="s">
        <v>9</v>
      </c>
      <c r="B1290" t="s">
        <v>970</v>
      </c>
      <c r="C1290" t="s">
        <v>1282</v>
      </c>
      <c r="D1290" t="str">
        <f>"146510"</f>
        <v>146510</v>
      </c>
      <c r="E1290">
        <v>80674</v>
      </c>
      <c r="F1290">
        <v>48556</v>
      </c>
      <c r="G1290" s="1">
        <v>0.60189999999999999</v>
      </c>
      <c r="H1290">
        <v>39</v>
      </c>
      <c r="I1290">
        <v>77539</v>
      </c>
    </row>
    <row r="1291" spans="1:9" x14ac:dyDescent="0.35">
      <c r="A1291" t="s">
        <v>9</v>
      </c>
      <c r="B1291" t="s">
        <v>970</v>
      </c>
      <c r="C1291" t="s">
        <v>1283</v>
      </c>
      <c r="D1291" t="str">
        <f>"146511"</f>
        <v>146511</v>
      </c>
      <c r="E1291">
        <v>92710</v>
      </c>
      <c r="F1291">
        <v>54639</v>
      </c>
      <c r="G1291" s="1">
        <v>0.58940000000000003</v>
      </c>
      <c r="H1291">
        <v>45</v>
      </c>
      <c r="I1291">
        <v>91579</v>
      </c>
    </row>
    <row r="1292" spans="1:9" x14ac:dyDescent="0.35">
      <c r="A1292" t="s">
        <v>9</v>
      </c>
      <c r="B1292" t="s">
        <v>970</v>
      </c>
      <c r="C1292" t="s">
        <v>1284</v>
      </c>
      <c r="D1292" t="str">
        <f>"146512"</f>
        <v>146512</v>
      </c>
      <c r="E1292">
        <v>47608</v>
      </c>
      <c r="F1292">
        <v>27576</v>
      </c>
      <c r="G1292" s="1">
        <v>0.57920000000000005</v>
      </c>
      <c r="H1292">
        <v>25</v>
      </c>
      <c r="I1292">
        <v>47105</v>
      </c>
    </row>
    <row r="1293" spans="1:9" x14ac:dyDescent="0.35">
      <c r="A1293" t="s">
        <v>9</v>
      </c>
      <c r="B1293" t="s">
        <v>970</v>
      </c>
      <c r="C1293" t="s">
        <v>1285</v>
      </c>
      <c r="D1293" t="str">
        <f>"146513"</f>
        <v>146513</v>
      </c>
      <c r="E1293">
        <v>110229</v>
      </c>
      <c r="F1293">
        <v>74915</v>
      </c>
      <c r="G1293" s="1">
        <v>0.67959999999999998</v>
      </c>
      <c r="H1293">
        <v>64</v>
      </c>
      <c r="I1293">
        <v>108425</v>
      </c>
    </row>
    <row r="1294" spans="1:9" x14ac:dyDescent="0.35">
      <c r="A1294" t="s">
        <v>9</v>
      </c>
      <c r="B1294" t="s">
        <v>970</v>
      </c>
      <c r="C1294" t="s">
        <v>1286</v>
      </c>
      <c r="D1294" t="str">
        <f>"146514"</f>
        <v>146514</v>
      </c>
      <c r="E1294">
        <v>58771</v>
      </c>
      <c r="F1294">
        <v>39361</v>
      </c>
      <c r="G1294" s="1">
        <v>0.66969999999999996</v>
      </c>
      <c r="H1294">
        <v>32</v>
      </c>
      <c r="I1294">
        <v>58392</v>
      </c>
    </row>
    <row r="1295" spans="1:9" x14ac:dyDescent="0.35">
      <c r="A1295" t="s">
        <v>9</v>
      </c>
      <c r="B1295" t="s">
        <v>970</v>
      </c>
      <c r="C1295" t="s">
        <v>1287</v>
      </c>
      <c r="D1295" t="str">
        <f>"146515"</f>
        <v>146515</v>
      </c>
      <c r="E1295">
        <v>18729</v>
      </c>
      <c r="F1295">
        <v>12708</v>
      </c>
      <c r="G1295" s="1">
        <v>0.67849999999999999</v>
      </c>
      <c r="H1295">
        <v>10</v>
      </c>
      <c r="I1295">
        <v>18435</v>
      </c>
    </row>
    <row r="1296" spans="1:9" x14ac:dyDescent="0.35">
      <c r="A1296" t="s">
        <v>9</v>
      </c>
      <c r="B1296" t="s">
        <v>970</v>
      </c>
      <c r="C1296" t="s">
        <v>1288</v>
      </c>
      <c r="D1296" t="str">
        <f>"146516"</f>
        <v>146516</v>
      </c>
      <c r="E1296">
        <v>29611</v>
      </c>
      <c r="F1296">
        <v>21280</v>
      </c>
      <c r="G1296" s="1">
        <v>0.71870000000000001</v>
      </c>
      <c r="H1296">
        <v>19</v>
      </c>
      <c r="I1296">
        <v>28995</v>
      </c>
    </row>
    <row r="1297" spans="1:9" x14ac:dyDescent="0.35">
      <c r="A1297" t="s">
        <v>9</v>
      </c>
      <c r="B1297" t="s">
        <v>970</v>
      </c>
      <c r="C1297" t="s">
        <v>1289</v>
      </c>
      <c r="D1297" t="str">
        <f>"146517"</f>
        <v>146517</v>
      </c>
      <c r="E1297">
        <v>34253</v>
      </c>
      <c r="F1297">
        <v>21386</v>
      </c>
      <c r="G1297" s="1">
        <v>0.62439999999999996</v>
      </c>
      <c r="H1297">
        <v>26</v>
      </c>
      <c r="I1297">
        <v>33653</v>
      </c>
    </row>
    <row r="1298" spans="1:9" x14ac:dyDescent="0.35">
      <c r="A1298" t="s">
        <v>9</v>
      </c>
      <c r="B1298" t="s">
        <v>970</v>
      </c>
      <c r="C1298" t="s">
        <v>1290</v>
      </c>
      <c r="D1298" t="str">
        <f>"146518"</f>
        <v>146518</v>
      </c>
      <c r="E1298">
        <v>108223</v>
      </c>
      <c r="F1298">
        <v>64063</v>
      </c>
      <c r="G1298" s="1">
        <v>0.59199999999999997</v>
      </c>
      <c r="H1298">
        <v>57</v>
      </c>
      <c r="I1298">
        <v>106667</v>
      </c>
    </row>
    <row r="1299" spans="1:9" x14ac:dyDescent="0.35">
      <c r="A1299" t="s">
        <v>9</v>
      </c>
      <c r="B1299" t="s">
        <v>970</v>
      </c>
      <c r="C1299" t="s">
        <v>1291</v>
      </c>
      <c r="D1299" t="str">
        <f>"146519"</f>
        <v>146519</v>
      </c>
      <c r="E1299">
        <v>40504</v>
      </c>
      <c r="F1299">
        <v>27193</v>
      </c>
      <c r="G1299" s="1">
        <v>0.6714</v>
      </c>
      <c r="H1299">
        <v>20</v>
      </c>
      <c r="I1299">
        <v>39537</v>
      </c>
    </row>
    <row r="1300" spans="1:9" x14ac:dyDescent="0.35">
      <c r="A1300" t="s">
        <v>9</v>
      </c>
      <c r="B1300" t="s">
        <v>1292</v>
      </c>
      <c r="C1300" t="s">
        <v>1293</v>
      </c>
      <c r="D1300" t="str">
        <f>"160101"</f>
        <v>160101</v>
      </c>
      <c r="E1300">
        <v>25289</v>
      </c>
      <c r="F1300">
        <v>14257</v>
      </c>
      <c r="G1300" s="1">
        <v>0.56379999999999997</v>
      </c>
      <c r="H1300">
        <v>21</v>
      </c>
      <c r="I1300">
        <v>25161</v>
      </c>
    </row>
    <row r="1301" spans="1:9" x14ac:dyDescent="0.35">
      <c r="A1301" t="s">
        <v>9</v>
      </c>
      <c r="B1301" t="s">
        <v>1292</v>
      </c>
      <c r="C1301" t="s">
        <v>1294</v>
      </c>
      <c r="D1301" t="str">
        <f>"160102"</f>
        <v>160102</v>
      </c>
      <c r="E1301">
        <v>6314</v>
      </c>
      <c r="F1301">
        <v>3607</v>
      </c>
      <c r="G1301" s="1">
        <v>0.57130000000000003</v>
      </c>
      <c r="H1301">
        <v>12</v>
      </c>
      <c r="I1301">
        <v>6278</v>
      </c>
    </row>
    <row r="1302" spans="1:9" x14ac:dyDescent="0.35">
      <c r="A1302" t="s">
        <v>9</v>
      </c>
      <c r="B1302" t="s">
        <v>1292</v>
      </c>
      <c r="C1302" t="s">
        <v>1295</v>
      </c>
      <c r="D1302" t="str">
        <f>"160103"</f>
        <v>160103</v>
      </c>
      <c r="E1302">
        <v>13965</v>
      </c>
      <c r="F1302">
        <v>7637</v>
      </c>
      <c r="G1302" s="1">
        <v>0.54690000000000005</v>
      </c>
      <c r="H1302">
        <v>29</v>
      </c>
      <c r="I1302">
        <v>13923</v>
      </c>
    </row>
    <row r="1303" spans="1:9" x14ac:dyDescent="0.35">
      <c r="A1303" t="s">
        <v>9</v>
      </c>
      <c r="B1303" t="s">
        <v>1292</v>
      </c>
      <c r="C1303" t="s">
        <v>1296</v>
      </c>
      <c r="D1303" t="str">
        <f>"160104"</f>
        <v>160104</v>
      </c>
      <c r="E1303">
        <v>9607</v>
      </c>
      <c r="F1303">
        <v>5239</v>
      </c>
      <c r="G1303" s="1">
        <v>0.54530000000000001</v>
      </c>
      <c r="H1303">
        <v>15</v>
      </c>
      <c r="I1303">
        <v>9573</v>
      </c>
    </row>
    <row r="1304" spans="1:9" x14ac:dyDescent="0.35">
      <c r="A1304" t="s">
        <v>9</v>
      </c>
      <c r="B1304" t="s">
        <v>1292</v>
      </c>
      <c r="C1304" t="s">
        <v>1297</v>
      </c>
      <c r="D1304" t="str">
        <f>"160105"</f>
        <v>160105</v>
      </c>
      <c r="E1304">
        <v>6797</v>
      </c>
      <c r="F1304">
        <v>3617</v>
      </c>
      <c r="G1304" s="1">
        <v>0.53210000000000002</v>
      </c>
      <c r="H1304">
        <v>11</v>
      </c>
      <c r="I1304">
        <v>6745</v>
      </c>
    </row>
    <row r="1305" spans="1:9" x14ac:dyDescent="0.35">
      <c r="A1305" t="s">
        <v>9</v>
      </c>
      <c r="B1305" t="s">
        <v>1292</v>
      </c>
      <c r="C1305" t="s">
        <v>1038</v>
      </c>
      <c r="D1305" t="str">
        <f>"160106"</f>
        <v>160106</v>
      </c>
      <c r="E1305">
        <v>3675</v>
      </c>
      <c r="F1305">
        <v>2196</v>
      </c>
      <c r="G1305" s="1">
        <v>0.59760000000000002</v>
      </c>
      <c r="H1305">
        <v>10</v>
      </c>
      <c r="I1305">
        <v>3639</v>
      </c>
    </row>
    <row r="1306" spans="1:9" x14ac:dyDescent="0.35">
      <c r="A1306" t="s">
        <v>9</v>
      </c>
      <c r="B1306" t="s">
        <v>1292</v>
      </c>
      <c r="C1306" t="s">
        <v>1298</v>
      </c>
      <c r="D1306" t="str">
        <f>"160201"</f>
        <v>160201</v>
      </c>
      <c r="E1306">
        <v>4476</v>
      </c>
      <c r="F1306">
        <v>2180</v>
      </c>
      <c r="G1306" s="1">
        <v>0.48699999999999999</v>
      </c>
      <c r="H1306">
        <v>9</v>
      </c>
      <c r="I1306">
        <v>4471</v>
      </c>
    </row>
    <row r="1307" spans="1:9" x14ac:dyDescent="0.35">
      <c r="A1307" t="s">
        <v>9</v>
      </c>
      <c r="B1307" t="s">
        <v>1292</v>
      </c>
      <c r="C1307" t="s">
        <v>1299</v>
      </c>
      <c r="D1307" t="str">
        <f>"160202"</f>
        <v>160202</v>
      </c>
      <c r="E1307">
        <v>4442</v>
      </c>
      <c r="F1307">
        <v>2156</v>
      </c>
      <c r="G1307" s="1">
        <v>0.4854</v>
      </c>
      <c r="H1307">
        <v>7</v>
      </c>
      <c r="I1307">
        <v>4426</v>
      </c>
    </row>
    <row r="1308" spans="1:9" x14ac:dyDescent="0.35">
      <c r="A1308" t="s">
        <v>9</v>
      </c>
      <c r="B1308" t="s">
        <v>1292</v>
      </c>
      <c r="C1308" t="s">
        <v>1300</v>
      </c>
      <c r="D1308" t="str">
        <f>"160203"</f>
        <v>160203</v>
      </c>
      <c r="E1308">
        <v>15746</v>
      </c>
      <c r="F1308">
        <v>8212</v>
      </c>
      <c r="G1308" s="1">
        <v>0.52149999999999996</v>
      </c>
      <c r="H1308">
        <v>22</v>
      </c>
      <c r="I1308">
        <v>15601</v>
      </c>
    </row>
    <row r="1309" spans="1:9" x14ac:dyDescent="0.35">
      <c r="A1309" t="s">
        <v>9</v>
      </c>
      <c r="B1309" t="s">
        <v>1292</v>
      </c>
      <c r="C1309" t="s">
        <v>1301</v>
      </c>
      <c r="D1309" t="str">
        <f>"160204"</f>
        <v>160204</v>
      </c>
      <c r="E1309">
        <v>7796</v>
      </c>
      <c r="F1309">
        <v>4138</v>
      </c>
      <c r="G1309" s="1">
        <v>0.53080000000000005</v>
      </c>
      <c r="H1309">
        <v>12</v>
      </c>
      <c r="I1309">
        <v>7774</v>
      </c>
    </row>
    <row r="1310" spans="1:9" x14ac:dyDescent="0.35">
      <c r="A1310" t="s">
        <v>9</v>
      </c>
      <c r="B1310" t="s">
        <v>1292</v>
      </c>
      <c r="C1310" t="s">
        <v>1302</v>
      </c>
      <c r="D1310" t="str">
        <f>"160301"</f>
        <v>160301</v>
      </c>
      <c r="E1310">
        <v>41834</v>
      </c>
      <c r="F1310">
        <v>22559</v>
      </c>
      <c r="G1310" s="1">
        <v>0.5393</v>
      </c>
      <c r="H1310">
        <v>31</v>
      </c>
      <c r="I1310">
        <v>41543</v>
      </c>
    </row>
    <row r="1311" spans="1:9" x14ac:dyDescent="0.35">
      <c r="A1311" t="s">
        <v>9</v>
      </c>
      <c r="B1311" t="s">
        <v>1292</v>
      </c>
      <c r="C1311" t="s">
        <v>1303</v>
      </c>
      <c r="D1311" t="str">
        <f>"160302"</f>
        <v>160302</v>
      </c>
      <c r="E1311">
        <v>5924</v>
      </c>
      <c r="F1311">
        <v>2985</v>
      </c>
      <c r="G1311" s="1">
        <v>0.50390000000000001</v>
      </c>
      <c r="H1311">
        <v>9</v>
      </c>
      <c r="I1311">
        <v>5898</v>
      </c>
    </row>
    <row r="1312" spans="1:9" x14ac:dyDescent="0.35">
      <c r="A1312" t="s">
        <v>9</v>
      </c>
      <c r="B1312" t="s">
        <v>1292</v>
      </c>
      <c r="C1312" t="s">
        <v>1304</v>
      </c>
      <c r="D1312" t="str">
        <f>"160303"</f>
        <v>160303</v>
      </c>
      <c r="E1312">
        <v>4221</v>
      </c>
      <c r="F1312">
        <v>2032</v>
      </c>
      <c r="G1312" s="1">
        <v>0.48139999999999999</v>
      </c>
      <c r="H1312">
        <v>5</v>
      </c>
      <c r="I1312">
        <v>4201</v>
      </c>
    </row>
    <row r="1313" spans="1:9" x14ac:dyDescent="0.35">
      <c r="A1313" t="s">
        <v>9</v>
      </c>
      <c r="B1313" t="s">
        <v>1292</v>
      </c>
      <c r="C1313" t="s">
        <v>1305</v>
      </c>
      <c r="D1313" t="str">
        <f>"160304"</f>
        <v>160304</v>
      </c>
      <c r="E1313">
        <v>5675</v>
      </c>
      <c r="F1313">
        <v>2446</v>
      </c>
      <c r="G1313" s="1">
        <v>0.43099999999999999</v>
      </c>
      <c r="H1313">
        <v>9</v>
      </c>
      <c r="I1313">
        <v>5661</v>
      </c>
    </row>
    <row r="1314" spans="1:9" x14ac:dyDescent="0.35">
      <c r="A1314" t="s">
        <v>9</v>
      </c>
      <c r="B1314" t="s">
        <v>1292</v>
      </c>
      <c r="C1314" t="s">
        <v>1306</v>
      </c>
      <c r="D1314" t="str">
        <f>"160305"</f>
        <v>160305</v>
      </c>
      <c r="E1314">
        <v>3072</v>
      </c>
      <c r="F1314">
        <v>1385</v>
      </c>
      <c r="G1314" s="1">
        <v>0.45079999999999998</v>
      </c>
      <c r="H1314">
        <v>5</v>
      </c>
      <c r="I1314">
        <v>3061</v>
      </c>
    </row>
    <row r="1315" spans="1:9" x14ac:dyDescent="0.35">
      <c r="A1315" t="s">
        <v>9</v>
      </c>
      <c r="B1315" t="s">
        <v>1292</v>
      </c>
      <c r="C1315" t="s">
        <v>1307</v>
      </c>
      <c r="D1315" t="str">
        <f>"160306"</f>
        <v>160306</v>
      </c>
      <c r="E1315">
        <v>6389</v>
      </c>
      <c r="F1315">
        <v>3006</v>
      </c>
      <c r="G1315" s="1">
        <v>0.47049999999999997</v>
      </c>
      <c r="H1315">
        <v>8</v>
      </c>
      <c r="I1315">
        <v>6352</v>
      </c>
    </row>
    <row r="1316" spans="1:9" x14ac:dyDescent="0.35">
      <c r="A1316" t="s">
        <v>9</v>
      </c>
      <c r="B1316" t="s">
        <v>1292</v>
      </c>
      <c r="C1316" t="s">
        <v>1308</v>
      </c>
      <c r="D1316" t="str">
        <f>"160401"</f>
        <v>160401</v>
      </c>
      <c r="E1316">
        <v>6817</v>
      </c>
      <c r="F1316">
        <v>3534</v>
      </c>
      <c r="G1316" s="1">
        <v>0.51839999999999997</v>
      </c>
      <c r="H1316">
        <v>16</v>
      </c>
      <c r="I1316">
        <v>6747</v>
      </c>
    </row>
    <row r="1317" spans="1:9" x14ac:dyDescent="0.35">
      <c r="A1317" t="s">
        <v>9</v>
      </c>
      <c r="B1317" t="s">
        <v>1292</v>
      </c>
      <c r="C1317" t="s">
        <v>1309</v>
      </c>
      <c r="D1317" t="str">
        <f>"160402"</f>
        <v>160402</v>
      </c>
      <c r="E1317">
        <v>26072</v>
      </c>
      <c r="F1317">
        <v>13655</v>
      </c>
      <c r="G1317" s="1">
        <v>0.52370000000000005</v>
      </c>
      <c r="H1317">
        <v>25</v>
      </c>
      <c r="I1317">
        <v>25856</v>
      </c>
    </row>
    <row r="1318" spans="1:9" x14ac:dyDescent="0.35">
      <c r="A1318" t="s">
        <v>9</v>
      </c>
      <c r="B1318" t="s">
        <v>1292</v>
      </c>
      <c r="C1318" t="s">
        <v>1310</v>
      </c>
      <c r="D1318" t="str">
        <f>"160403"</f>
        <v>160403</v>
      </c>
      <c r="E1318">
        <v>5134</v>
      </c>
      <c r="F1318">
        <v>2142</v>
      </c>
      <c r="G1318" s="1">
        <v>0.41720000000000002</v>
      </c>
      <c r="H1318">
        <v>10</v>
      </c>
      <c r="I1318">
        <v>5119</v>
      </c>
    </row>
    <row r="1319" spans="1:9" x14ac:dyDescent="0.35">
      <c r="A1319" t="s">
        <v>9</v>
      </c>
      <c r="B1319" t="s">
        <v>1292</v>
      </c>
      <c r="C1319" t="s">
        <v>1311</v>
      </c>
      <c r="D1319" t="str">
        <f>"160404"</f>
        <v>160404</v>
      </c>
      <c r="E1319">
        <v>9602</v>
      </c>
      <c r="F1319">
        <v>4886</v>
      </c>
      <c r="G1319" s="1">
        <v>0.50890000000000002</v>
      </c>
      <c r="H1319">
        <v>15</v>
      </c>
      <c r="I1319">
        <v>9559</v>
      </c>
    </row>
    <row r="1320" spans="1:9" x14ac:dyDescent="0.35">
      <c r="A1320" t="s">
        <v>9</v>
      </c>
      <c r="B1320" t="s">
        <v>1292</v>
      </c>
      <c r="C1320" t="s">
        <v>1312</v>
      </c>
      <c r="D1320" t="str">
        <f>"160501"</f>
        <v>160501</v>
      </c>
      <c r="E1320">
        <v>9485</v>
      </c>
      <c r="F1320">
        <v>4357</v>
      </c>
      <c r="G1320" s="1">
        <v>0.45939999999999998</v>
      </c>
      <c r="H1320">
        <v>12</v>
      </c>
      <c r="I1320">
        <v>9422</v>
      </c>
    </row>
    <row r="1321" spans="1:9" x14ac:dyDescent="0.35">
      <c r="A1321" t="s">
        <v>9</v>
      </c>
      <c r="B1321" t="s">
        <v>1292</v>
      </c>
      <c r="C1321" t="s">
        <v>1313</v>
      </c>
      <c r="D1321" t="str">
        <f>"160502"</f>
        <v>160502</v>
      </c>
      <c r="E1321">
        <v>16781</v>
      </c>
      <c r="F1321">
        <v>8351</v>
      </c>
      <c r="G1321" s="1">
        <v>0.49759999999999999</v>
      </c>
      <c r="H1321">
        <v>18</v>
      </c>
      <c r="I1321">
        <v>16707</v>
      </c>
    </row>
    <row r="1322" spans="1:9" x14ac:dyDescent="0.35">
      <c r="A1322" t="s">
        <v>9</v>
      </c>
      <c r="B1322" t="s">
        <v>1292</v>
      </c>
      <c r="C1322" t="s">
        <v>1314</v>
      </c>
      <c r="D1322" t="str">
        <f>"160503"</f>
        <v>160503</v>
      </c>
      <c r="E1322">
        <v>5669</v>
      </c>
      <c r="F1322">
        <v>2599</v>
      </c>
      <c r="G1322" s="1">
        <v>0.45850000000000002</v>
      </c>
      <c r="H1322">
        <v>6</v>
      </c>
      <c r="I1322">
        <v>5640</v>
      </c>
    </row>
    <row r="1323" spans="1:9" x14ac:dyDescent="0.35">
      <c r="A1323" t="s">
        <v>9</v>
      </c>
      <c r="B1323" t="s">
        <v>1292</v>
      </c>
      <c r="C1323" t="s">
        <v>1315</v>
      </c>
      <c r="D1323" t="str">
        <f>"160504"</f>
        <v>160504</v>
      </c>
      <c r="E1323">
        <v>4189</v>
      </c>
      <c r="F1323">
        <v>1876</v>
      </c>
      <c r="G1323" s="1">
        <v>0.44779999999999998</v>
      </c>
      <c r="H1323">
        <v>8</v>
      </c>
      <c r="I1323">
        <v>4182</v>
      </c>
    </row>
    <row r="1324" spans="1:9" x14ac:dyDescent="0.35">
      <c r="A1324" t="s">
        <v>9</v>
      </c>
      <c r="B1324" t="s">
        <v>1292</v>
      </c>
      <c r="C1324" t="s">
        <v>1316</v>
      </c>
      <c r="D1324" t="str">
        <f>"160505"</f>
        <v>160505</v>
      </c>
      <c r="E1324">
        <v>10905</v>
      </c>
      <c r="F1324">
        <v>5391</v>
      </c>
      <c r="G1324" s="1">
        <v>0.49440000000000001</v>
      </c>
      <c r="H1324">
        <v>11</v>
      </c>
      <c r="I1324">
        <v>10853</v>
      </c>
    </row>
    <row r="1325" spans="1:9" x14ac:dyDescent="0.35">
      <c r="A1325" t="s">
        <v>9</v>
      </c>
      <c r="B1325" t="s">
        <v>1292</v>
      </c>
      <c r="C1325" t="s">
        <v>1317</v>
      </c>
      <c r="D1325" t="str">
        <f>"160601"</f>
        <v>160601</v>
      </c>
      <c r="E1325">
        <v>2753</v>
      </c>
      <c r="F1325">
        <v>1588</v>
      </c>
      <c r="G1325" s="1">
        <v>0.57679999999999998</v>
      </c>
      <c r="H1325">
        <v>8</v>
      </c>
      <c r="I1325">
        <v>2743</v>
      </c>
    </row>
    <row r="1326" spans="1:9" x14ac:dyDescent="0.35">
      <c r="A1326" t="s">
        <v>9</v>
      </c>
      <c r="B1326" t="s">
        <v>1292</v>
      </c>
      <c r="C1326" t="s">
        <v>1318</v>
      </c>
      <c r="D1326" t="str">
        <f>"160602"</f>
        <v>160602</v>
      </c>
      <c r="E1326">
        <v>19587</v>
      </c>
      <c r="F1326">
        <v>11258</v>
      </c>
      <c r="G1326" s="1">
        <v>0.57479999999999998</v>
      </c>
      <c r="H1326">
        <v>35</v>
      </c>
      <c r="I1326">
        <v>19479</v>
      </c>
    </row>
    <row r="1327" spans="1:9" x14ac:dyDescent="0.35">
      <c r="A1327" t="s">
        <v>9</v>
      </c>
      <c r="B1327" t="s">
        <v>1292</v>
      </c>
      <c r="C1327" t="s">
        <v>1319</v>
      </c>
      <c r="D1327" t="str">
        <f>"160603"</f>
        <v>160603</v>
      </c>
      <c r="E1327">
        <v>3915</v>
      </c>
      <c r="F1327">
        <v>1993</v>
      </c>
      <c r="G1327" s="1">
        <v>0.5091</v>
      </c>
      <c r="H1327">
        <v>10</v>
      </c>
      <c r="I1327">
        <v>3876</v>
      </c>
    </row>
    <row r="1328" spans="1:9" x14ac:dyDescent="0.35">
      <c r="A1328" t="s">
        <v>9</v>
      </c>
      <c r="B1328" t="s">
        <v>1292</v>
      </c>
      <c r="C1328" t="s">
        <v>1320</v>
      </c>
      <c r="D1328" t="str">
        <f>"160604"</f>
        <v>160604</v>
      </c>
      <c r="E1328">
        <v>2551</v>
      </c>
      <c r="F1328">
        <v>1400</v>
      </c>
      <c r="G1328" s="1">
        <v>0.54879999999999995</v>
      </c>
      <c r="H1328">
        <v>7</v>
      </c>
      <c r="I1328">
        <v>2526</v>
      </c>
    </row>
    <row r="1329" spans="1:9" x14ac:dyDescent="0.35">
      <c r="A1329" t="s">
        <v>9</v>
      </c>
      <c r="B1329" t="s">
        <v>1292</v>
      </c>
      <c r="C1329" t="s">
        <v>460</v>
      </c>
      <c r="D1329" t="str">
        <f>"160605"</f>
        <v>160605</v>
      </c>
      <c r="E1329">
        <v>3295</v>
      </c>
      <c r="F1329">
        <v>1725</v>
      </c>
      <c r="G1329" s="1">
        <v>0.52349999999999997</v>
      </c>
      <c r="H1329">
        <v>7</v>
      </c>
      <c r="I1329">
        <v>3280</v>
      </c>
    </row>
    <row r="1330" spans="1:9" x14ac:dyDescent="0.35">
      <c r="A1330" t="s">
        <v>9</v>
      </c>
      <c r="B1330" t="s">
        <v>1292</v>
      </c>
      <c r="C1330" t="s">
        <v>1321</v>
      </c>
      <c r="D1330" t="str">
        <f>"160701"</f>
        <v>160701</v>
      </c>
      <c r="E1330">
        <v>17373</v>
      </c>
      <c r="F1330">
        <v>9086</v>
      </c>
      <c r="G1330" s="1">
        <v>0.52300000000000002</v>
      </c>
      <c r="H1330">
        <v>19</v>
      </c>
      <c r="I1330">
        <v>17310</v>
      </c>
    </row>
    <row r="1331" spans="1:9" x14ac:dyDescent="0.35">
      <c r="A1331" t="s">
        <v>9</v>
      </c>
      <c r="B1331" t="s">
        <v>1292</v>
      </c>
      <c r="C1331" t="s">
        <v>1322</v>
      </c>
      <c r="D1331" t="str">
        <f>"160702"</f>
        <v>160702</v>
      </c>
      <c r="E1331">
        <v>2528</v>
      </c>
      <c r="F1331">
        <v>1215</v>
      </c>
      <c r="G1331" s="1">
        <v>0.48060000000000003</v>
      </c>
      <c r="H1331">
        <v>5</v>
      </c>
      <c r="I1331">
        <v>2509</v>
      </c>
    </row>
    <row r="1332" spans="1:9" x14ac:dyDescent="0.35">
      <c r="A1332" t="s">
        <v>9</v>
      </c>
      <c r="B1332" t="s">
        <v>1292</v>
      </c>
      <c r="C1332" t="s">
        <v>1323</v>
      </c>
      <c r="D1332" t="str">
        <f>"160703"</f>
        <v>160703</v>
      </c>
      <c r="E1332">
        <v>6758</v>
      </c>
      <c r="F1332">
        <v>3139</v>
      </c>
      <c r="G1332" s="1">
        <v>0.46450000000000002</v>
      </c>
      <c r="H1332">
        <v>15</v>
      </c>
      <c r="I1332">
        <v>6746</v>
      </c>
    </row>
    <row r="1333" spans="1:9" x14ac:dyDescent="0.35">
      <c r="A1333" t="s">
        <v>9</v>
      </c>
      <c r="B1333" t="s">
        <v>1292</v>
      </c>
      <c r="C1333" t="s">
        <v>1324</v>
      </c>
      <c r="D1333" t="str">
        <f>"160704"</f>
        <v>160704</v>
      </c>
      <c r="E1333">
        <v>5470</v>
      </c>
      <c r="F1333">
        <v>2806</v>
      </c>
      <c r="G1333" s="1">
        <v>0.51300000000000001</v>
      </c>
      <c r="H1333">
        <v>11</v>
      </c>
      <c r="I1333">
        <v>5460</v>
      </c>
    </row>
    <row r="1334" spans="1:9" x14ac:dyDescent="0.35">
      <c r="A1334" t="s">
        <v>9</v>
      </c>
      <c r="B1334" t="s">
        <v>1292</v>
      </c>
      <c r="C1334" t="s">
        <v>1325</v>
      </c>
      <c r="D1334" t="str">
        <f>"160705"</f>
        <v>160705</v>
      </c>
      <c r="E1334">
        <v>41645</v>
      </c>
      <c r="F1334">
        <v>20725</v>
      </c>
      <c r="G1334" s="1">
        <v>0.49769999999999998</v>
      </c>
      <c r="H1334">
        <v>39</v>
      </c>
      <c r="I1334">
        <v>41228</v>
      </c>
    </row>
    <row r="1335" spans="1:9" x14ac:dyDescent="0.35">
      <c r="A1335" t="s">
        <v>9</v>
      </c>
      <c r="B1335" t="s">
        <v>1292</v>
      </c>
      <c r="C1335" t="s">
        <v>1326</v>
      </c>
      <c r="D1335" t="str">
        <f>"160706"</f>
        <v>160706</v>
      </c>
      <c r="E1335">
        <v>9956</v>
      </c>
      <c r="F1335">
        <v>5393</v>
      </c>
      <c r="G1335" s="1">
        <v>0.54169999999999996</v>
      </c>
      <c r="H1335">
        <v>15</v>
      </c>
      <c r="I1335">
        <v>9921</v>
      </c>
    </row>
    <row r="1336" spans="1:9" x14ac:dyDescent="0.35">
      <c r="A1336" t="s">
        <v>9</v>
      </c>
      <c r="B1336" t="s">
        <v>1292</v>
      </c>
      <c r="C1336" t="s">
        <v>1327</v>
      </c>
      <c r="D1336" t="str">
        <f>"160707"</f>
        <v>160707</v>
      </c>
      <c r="E1336">
        <v>9138</v>
      </c>
      <c r="F1336">
        <v>4464</v>
      </c>
      <c r="G1336" s="1">
        <v>0.48849999999999999</v>
      </c>
      <c r="H1336">
        <v>15</v>
      </c>
      <c r="I1336">
        <v>9086</v>
      </c>
    </row>
    <row r="1337" spans="1:9" x14ac:dyDescent="0.35">
      <c r="A1337" t="s">
        <v>9</v>
      </c>
      <c r="B1337" t="s">
        <v>1292</v>
      </c>
      <c r="C1337" t="s">
        <v>1328</v>
      </c>
      <c r="D1337" t="str">
        <f>"160708"</f>
        <v>160708</v>
      </c>
      <c r="E1337">
        <v>2673</v>
      </c>
      <c r="F1337">
        <v>1473</v>
      </c>
      <c r="G1337" s="1">
        <v>0.55110000000000003</v>
      </c>
      <c r="H1337">
        <v>6</v>
      </c>
      <c r="I1337">
        <v>2667</v>
      </c>
    </row>
    <row r="1338" spans="1:9" x14ac:dyDescent="0.35">
      <c r="A1338" t="s">
        <v>9</v>
      </c>
      <c r="B1338" t="s">
        <v>1292</v>
      </c>
      <c r="C1338" t="s">
        <v>1329</v>
      </c>
      <c r="D1338" t="str">
        <f>"160709"</f>
        <v>160709</v>
      </c>
      <c r="E1338">
        <v>4684</v>
      </c>
      <c r="F1338">
        <v>2568</v>
      </c>
      <c r="G1338" s="1">
        <v>0.54820000000000002</v>
      </c>
      <c r="H1338">
        <v>8</v>
      </c>
      <c r="I1338">
        <v>4678</v>
      </c>
    </row>
    <row r="1339" spans="1:9" x14ac:dyDescent="0.35">
      <c r="A1339" t="s">
        <v>9</v>
      </c>
      <c r="B1339" t="s">
        <v>1292</v>
      </c>
      <c r="C1339" t="s">
        <v>1330</v>
      </c>
      <c r="D1339" t="str">
        <f>"160801"</f>
        <v>160801</v>
      </c>
      <c r="E1339">
        <v>7487</v>
      </c>
      <c r="F1339">
        <v>3199</v>
      </c>
      <c r="G1339" s="1">
        <v>0.42730000000000001</v>
      </c>
      <c r="H1339">
        <v>7</v>
      </c>
      <c r="I1339">
        <v>7424</v>
      </c>
    </row>
    <row r="1340" spans="1:9" x14ac:dyDescent="0.35">
      <c r="A1340" t="s">
        <v>9</v>
      </c>
      <c r="B1340" t="s">
        <v>1292</v>
      </c>
      <c r="C1340" t="s">
        <v>1331</v>
      </c>
      <c r="D1340" t="str">
        <f>"160802"</f>
        <v>160802</v>
      </c>
      <c r="E1340">
        <v>5531</v>
      </c>
      <c r="F1340">
        <v>2524</v>
      </c>
      <c r="G1340" s="1">
        <v>0.45629999999999998</v>
      </c>
      <c r="H1340">
        <v>9</v>
      </c>
      <c r="I1340">
        <v>5503</v>
      </c>
    </row>
    <row r="1341" spans="1:9" x14ac:dyDescent="0.35">
      <c r="A1341" t="s">
        <v>9</v>
      </c>
      <c r="B1341" t="s">
        <v>1292</v>
      </c>
      <c r="C1341" t="s">
        <v>818</v>
      </c>
      <c r="D1341" t="str">
        <f>"160803"</f>
        <v>160803</v>
      </c>
      <c r="E1341">
        <v>13418</v>
      </c>
      <c r="F1341">
        <v>6603</v>
      </c>
      <c r="G1341" s="1">
        <v>0.49209999999999998</v>
      </c>
      <c r="H1341">
        <v>22</v>
      </c>
      <c r="I1341">
        <v>13368</v>
      </c>
    </row>
    <row r="1342" spans="1:9" x14ac:dyDescent="0.35">
      <c r="A1342" t="s">
        <v>9</v>
      </c>
      <c r="B1342" t="s">
        <v>1292</v>
      </c>
      <c r="C1342" t="s">
        <v>1332</v>
      </c>
      <c r="D1342" t="str">
        <f>"160804"</f>
        <v>160804</v>
      </c>
      <c r="E1342">
        <v>10035</v>
      </c>
      <c r="F1342">
        <v>5887</v>
      </c>
      <c r="G1342" s="1">
        <v>0.58660000000000001</v>
      </c>
      <c r="H1342">
        <v>14</v>
      </c>
      <c r="I1342">
        <v>9969</v>
      </c>
    </row>
    <row r="1343" spans="1:9" x14ac:dyDescent="0.35">
      <c r="A1343" t="s">
        <v>9</v>
      </c>
      <c r="B1343" t="s">
        <v>1292</v>
      </c>
      <c r="C1343" t="s">
        <v>937</v>
      </c>
      <c r="D1343" t="str">
        <f>"160805"</f>
        <v>160805</v>
      </c>
      <c r="E1343">
        <v>3247</v>
      </c>
      <c r="F1343">
        <v>1438</v>
      </c>
      <c r="G1343" s="1">
        <v>0.44290000000000002</v>
      </c>
      <c r="H1343">
        <v>3</v>
      </c>
      <c r="I1343">
        <v>3247</v>
      </c>
    </row>
    <row r="1344" spans="1:9" x14ac:dyDescent="0.35">
      <c r="A1344" t="s">
        <v>9</v>
      </c>
      <c r="B1344" t="s">
        <v>1292</v>
      </c>
      <c r="C1344" t="s">
        <v>1333</v>
      </c>
      <c r="D1344" t="str">
        <f>"160806"</f>
        <v>160806</v>
      </c>
      <c r="E1344">
        <v>6179</v>
      </c>
      <c r="F1344">
        <v>3393</v>
      </c>
      <c r="G1344" s="1">
        <v>0.54910000000000003</v>
      </c>
      <c r="H1344">
        <v>5</v>
      </c>
      <c r="I1344">
        <v>6147</v>
      </c>
    </row>
    <row r="1345" spans="1:9" x14ac:dyDescent="0.35">
      <c r="A1345" t="s">
        <v>9</v>
      </c>
      <c r="B1345" t="s">
        <v>1292</v>
      </c>
      <c r="C1345" t="s">
        <v>1334</v>
      </c>
      <c r="D1345" t="str">
        <f>"160807"</f>
        <v>160807</v>
      </c>
      <c r="E1345">
        <v>2743</v>
      </c>
      <c r="F1345">
        <v>1207</v>
      </c>
      <c r="G1345" s="1">
        <v>0.44</v>
      </c>
      <c r="H1345">
        <v>4</v>
      </c>
      <c r="I1345">
        <v>2726</v>
      </c>
    </row>
    <row r="1346" spans="1:9" x14ac:dyDescent="0.35">
      <c r="A1346" t="s">
        <v>9</v>
      </c>
      <c r="B1346" t="s">
        <v>1292</v>
      </c>
      <c r="C1346" t="s">
        <v>1335</v>
      </c>
      <c r="D1346" t="str">
        <f>"160901"</f>
        <v>160901</v>
      </c>
      <c r="E1346">
        <v>5566</v>
      </c>
      <c r="F1346">
        <v>2889</v>
      </c>
      <c r="G1346" s="1">
        <v>0.51900000000000002</v>
      </c>
      <c r="H1346">
        <v>6</v>
      </c>
      <c r="I1346">
        <v>5537</v>
      </c>
    </row>
    <row r="1347" spans="1:9" x14ac:dyDescent="0.35">
      <c r="A1347" t="s">
        <v>9</v>
      </c>
      <c r="B1347" t="s">
        <v>1292</v>
      </c>
      <c r="C1347" t="s">
        <v>245</v>
      </c>
      <c r="D1347" t="str">
        <f>"160902"</f>
        <v>160902</v>
      </c>
      <c r="E1347">
        <v>6388</v>
      </c>
      <c r="F1347">
        <v>3503</v>
      </c>
      <c r="G1347" s="1">
        <v>0.5484</v>
      </c>
      <c r="H1347">
        <v>11</v>
      </c>
      <c r="I1347">
        <v>6350</v>
      </c>
    </row>
    <row r="1348" spans="1:9" x14ac:dyDescent="0.35">
      <c r="A1348" t="s">
        <v>9</v>
      </c>
      <c r="B1348" t="s">
        <v>1292</v>
      </c>
      <c r="C1348" t="s">
        <v>1336</v>
      </c>
      <c r="D1348" t="str">
        <f>"160903"</f>
        <v>160903</v>
      </c>
      <c r="E1348">
        <v>7277</v>
      </c>
      <c r="F1348">
        <v>3612</v>
      </c>
      <c r="G1348" s="1">
        <v>0.49640000000000001</v>
      </c>
      <c r="H1348">
        <v>5</v>
      </c>
      <c r="I1348">
        <v>7241</v>
      </c>
    </row>
    <row r="1349" spans="1:9" x14ac:dyDescent="0.35">
      <c r="A1349" t="s">
        <v>9</v>
      </c>
      <c r="B1349" t="s">
        <v>1292</v>
      </c>
      <c r="C1349" t="s">
        <v>1337</v>
      </c>
      <c r="D1349" t="str">
        <f>"160904"</f>
        <v>160904</v>
      </c>
      <c r="E1349">
        <v>7114</v>
      </c>
      <c r="F1349">
        <v>3437</v>
      </c>
      <c r="G1349" s="1">
        <v>0.48309999999999997</v>
      </c>
      <c r="H1349">
        <v>7</v>
      </c>
      <c r="I1349">
        <v>7068</v>
      </c>
    </row>
    <row r="1350" spans="1:9" x14ac:dyDescent="0.35">
      <c r="A1350" t="s">
        <v>9</v>
      </c>
      <c r="B1350" t="s">
        <v>1292</v>
      </c>
      <c r="C1350" t="s">
        <v>1338</v>
      </c>
      <c r="D1350" t="str">
        <f>"160905"</f>
        <v>160905</v>
      </c>
      <c r="E1350">
        <v>7768</v>
      </c>
      <c r="F1350">
        <v>3992</v>
      </c>
      <c r="G1350" s="1">
        <v>0.51390000000000002</v>
      </c>
      <c r="H1350">
        <v>9</v>
      </c>
      <c r="I1350">
        <v>7755</v>
      </c>
    </row>
    <row r="1351" spans="1:9" x14ac:dyDescent="0.35">
      <c r="A1351" t="s">
        <v>9</v>
      </c>
      <c r="B1351" t="s">
        <v>1292</v>
      </c>
      <c r="C1351" t="s">
        <v>1339</v>
      </c>
      <c r="D1351" t="str">
        <f>"160906"</f>
        <v>160906</v>
      </c>
      <c r="E1351">
        <v>4119</v>
      </c>
      <c r="F1351">
        <v>1814</v>
      </c>
      <c r="G1351" s="1">
        <v>0.44040000000000001</v>
      </c>
      <c r="H1351">
        <v>8</v>
      </c>
      <c r="I1351">
        <v>4105</v>
      </c>
    </row>
    <row r="1352" spans="1:9" x14ac:dyDescent="0.35">
      <c r="A1352" t="s">
        <v>9</v>
      </c>
      <c r="B1352" t="s">
        <v>1292</v>
      </c>
      <c r="C1352" t="s">
        <v>1340</v>
      </c>
      <c r="D1352" t="str">
        <f>"160907"</f>
        <v>160907</v>
      </c>
      <c r="E1352">
        <v>9812</v>
      </c>
      <c r="F1352">
        <v>5001</v>
      </c>
      <c r="G1352" s="1">
        <v>0.50970000000000004</v>
      </c>
      <c r="H1352">
        <v>15</v>
      </c>
      <c r="I1352">
        <v>9649</v>
      </c>
    </row>
    <row r="1353" spans="1:9" x14ac:dyDescent="0.35">
      <c r="A1353" t="s">
        <v>9</v>
      </c>
      <c r="B1353" t="s">
        <v>1292</v>
      </c>
      <c r="C1353" t="s">
        <v>1341</v>
      </c>
      <c r="D1353" t="str">
        <f>"160908"</f>
        <v>160908</v>
      </c>
      <c r="E1353">
        <v>14529</v>
      </c>
      <c r="F1353">
        <v>7006</v>
      </c>
      <c r="G1353" s="1">
        <v>0.48220000000000002</v>
      </c>
      <c r="H1353">
        <v>16</v>
      </c>
      <c r="I1353">
        <v>14435</v>
      </c>
    </row>
    <row r="1354" spans="1:9" x14ac:dyDescent="0.35">
      <c r="A1354" t="s">
        <v>9</v>
      </c>
      <c r="B1354" t="s">
        <v>1292</v>
      </c>
      <c r="C1354" t="s">
        <v>1342</v>
      </c>
      <c r="D1354" t="str">
        <f>"160909"</f>
        <v>160909</v>
      </c>
      <c r="E1354">
        <v>6165</v>
      </c>
      <c r="F1354">
        <v>2943</v>
      </c>
      <c r="G1354" s="1">
        <v>0.47739999999999999</v>
      </c>
      <c r="H1354">
        <v>11</v>
      </c>
      <c r="I1354">
        <v>6159</v>
      </c>
    </row>
    <row r="1355" spans="1:9" x14ac:dyDescent="0.35">
      <c r="A1355" t="s">
        <v>9</v>
      </c>
      <c r="B1355" t="s">
        <v>1292</v>
      </c>
      <c r="C1355" t="s">
        <v>1343</v>
      </c>
      <c r="D1355" t="str">
        <f>"160910"</f>
        <v>160910</v>
      </c>
      <c r="E1355">
        <v>7005</v>
      </c>
      <c r="F1355">
        <v>3556</v>
      </c>
      <c r="G1355" s="1">
        <v>0.50760000000000005</v>
      </c>
      <c r="H1355">
        <v>14</v>
      </c>
      <c r="I1355">
        <v>6971</v>
      </c>
    </row>
    <row r="1356" spans="1:9" x14ac:dyDescent="0.35">
      <c r="A1356" t="s">
        <v>9</v>
      </c>
      <c r="B1356" t="s">
        <v>1292</v>
      </c>
      <c r="C1356" t="s">
        <v>1344</v>
      </c>
      <c r="D1356" t="str">
        <f>"160911"</f>
        <v>160911</v>
      </c>
      <c r="E1356">
        <v>7317</v>
      </c>
      <c r="F1356">
        <v>3706</v>
      </c>
      <c r="G1356" s="1">
        <v>0.50649999999999995</v>
      </c>
      <c r="H1356">
        <v>9</v>
      </c>
      <c r="I1356">
        <v>7312</v>
      </c>
    </row>
    <row r="1357" spans="1:9" x14ac:dyDescent="0.35">
      <c r="A1357" t="s">
        <v>9</v>
      </c>
      <c r="B1357" t="s">
        <v>1292</v>
      </c>
      <c r="C1357" t="s">
        <v>1345</v>
      </c>
      <c r="D1357" t="str">
        <f>"160912"</f>
        <v>160912</v>
      </c>
      <c r="E1357">
        <v>3854</v>
      </c>
      <c r="F1357">
        <v>2121</v>
      </c>
      <c r="G1357" s="1">
        <v>0.55030000000000001</v>
      </c>
      <c r="H1357">
        <v>6</v>
      </c>
      <c r="I1357">
        <v>3835</v>
      </c>
    </row>
    <row r="1358" spans="1:9" x14ac:dyDescent="0.35">
      <c r="A1358" t="s">
        <v>9</v>
      </c>
      <c r="B1358" t="s">
        <v>1292</v>
      </c>
      <c r="C1358" t="s">
        <v>1346</v>
      </c>
      <c r="D1358" t="str">
        <f>"160913"</f>
        <v>160913</v>
      </c>
      <c r="E1358">
        <v>7782</v>
      </c>
      <c r="F1358">
        <v>3955</v>
      </c>
      <c r="G1358" s="1">
        <v>0.50819999999999999</v>
      </c>
      <c r="H1358">
        <v>10</v>
      </c>
      <c r="I1358">
        <v>7734</v>
      </c>
    </row>
    <row r="1359" spans="1:9" x14ac:dyDescent="0.35">
      <c r="A1359" t="s">
        <v>9</v>
      </c>
      <c r="B1359" t="s">
        <v>1292</v>
      </c>
      <c r="C1359" t="s">
        <v>758</v>
      </c>
      <c r="D1359" t="str">
        <f>"161001"</f>
        <v>161001</v>
      </c>
      <c r="E1359">
        <v>8000</v>
      </c>
      <c r="F1359">
        <v>3505</v>
      </c>
      <c r="G1359" s="1">
        <v>0.43809999999999999</v>
      </c>
      <c r="H1359">
        <v>18</v>
      </c>
      <c r="I1359">
        <v>7979</v>
      </c>
    </row>
    <row r="1360" spans="1:9" x14ac:dyDescent="0.35">
      <c r="A1360" t="s">
        <v>9</v>
      </c>
      <c r="B1360" t="s">
        <v>1292</v>
      </c>
      <c r="C1360" t="s">
        <v>1347</v>
      </c>
      <c r="D1360" t="str">
        <f>"161002"</f>
        <v>161002</v>
      </c>
      <c r="E1360">
        <v>9932</v>
      </c>
      <c r="F1360">
        <v>4629</v>
      </c>
      <c r="G1360" s="1">
        <v>0.46610000000000001</v>
      </c>
      <c r="H1360">
        <v>18</v>
      </c>
      <c r="I1360">
        <v>9921</v>
      </c>
    </row>
    <row r="1361" spans="1:9" x14ac:dyDescent="0.35">
      <c r="A1361" t="s">
        <v>9</v>
      </c>
      <c r="B1361" t="s">
        <v>1292</v>
      </c>
      <c r="C1361" t="s">
        <v>581</v>
      </c>
      <c r="D1361" t="str">
        <f>"161003"</f>
        <v>161003</v>
      </c>
      <c r="E1361">
        <v>3242</v>
      </c>
      <c r="F1361">
        <v>1750</v>
      </c>
      <c r="G1361" s="1">
        <v>0.53979999999999995</v>
      </c>
      <c r="H1361">
        <v>9</v>
      </c>
      <c r="I1361">
        <v>3230</v>
      </c>
    </row>
    <row r="1362" spans="1:9" x14ac:dyDescent="0.35">
      <c r="A1362" t="s">
        <v>9</v>
      </c>
      <c r="B1362" t="s">
        <v>1292</v>
      </c>
      <c r="C1362" t="s">
        <v>1348</v>
      </c>
      <c r="D1362" t="str">
        <f>"161004"</f>
        <v>161004</v>
      </c>
      <c r="E1362">
        <v>19146</v>
      </c>
      <c r="F1362">
        <v>10411</v>
      </c>
      <c r="G1362" s="1">
        <v>0.54379999999999995</v>
      </c>
      <c r="H1362">
        <v>23</v>
      </c>
      <c r="I1362">
        <v>19055</v>
      </c>
    </row>
    <row r="1363" spans="1:9" x14ac:dyDescent="0.35">
      <c r="A1363" t="s">
        <v>9</v>
      </c>
      <c r="B1363" t="s">
        <v>1292</v>
      </c>
      <c r="C1363" t="s">
        <v>1349</v>
      </c>
      <c r="D1363" t="str">
        <f>"161101"</f>
        <v>161101</v>
      </c>
      <c r="E1363">
        <v>4157</v>
      </c>
      <c r="F1363">
        <v>2091</v>
      </c>
      <c r="G1363" s="1">
        <v>0.503</v>
      </c>
      <c r="H1363">
        <v>9</v>
      </c>
      <c r="I1363">
        <v>4137</v>
      </c>
    </row>
    <row r="1364" spans="1:9" x14ac:dyDescent="0.35">
      <c r="A1364" t="s">
        <v>9</v>
      </c>
      <c r="B1364" t="s">
        <v>1292</v>
      </c>
      <c r="C1364" t="s">
        <v>1350</v>
      </c>
      <c r="D1364" t="str">
        <f>"161102"</f>
        <v>161102</v>
      </c>
      <c r="E1364">
        <v>5754</v>
      </c>
      <c r="F1364">
        <v>2553</v>
      </c>
      <c r="G1364" s="1">
        <v>0.44369999999999998</v>
      </c>
      <c r="H1364">
        <v>8</v>
      </c>
      <c r="I1364">
        <v>5731</v>
      </c>
    </row>
    <row r="1365" spans="1:9" x14ac:dyDescent="0.35">
      <c r="A1365" t="s">
        <v>9</v>
      </c>
      <c r="B1365" t="s">
        <v>1292</v>
      </c>
      <c r="C1365" t="s">
        <v>1351</v>
      </c>
      <c r="D1365" t="str">
        <f>"161103"</f>
        <v>161103</v>
      </c>
      <c r="E1365">
        <v>4565</v>
      </c>
      <c r="F1365">
        <v>1873</v>
      </c>
      <c r="G1365" s="1">
        <v>0.4103</v>
      </c>
      <c r="H1365">
        <v>6</v>
      </c>
      <c r="I1365">
        <v>4555</v>
      </c>
    </row>
    <row r="1366" spans="1:9" x14ac:dyDescent="0.35">
      <c r="A1366" t="s">
        <v>9</v>
      </c>
      <c r="B1366" t="s">
        <v>1292</v>
      </c>
      <c r="C1366" t="s">
        <v>1352</v>
      </c>
      <c r="D1366" t="str">
        <f>"161104"</f>
        <v>161104</v>
      </c>
      <c r="E1366">
        <v>5775</v>
      </c>
      <c r="F1366">
        <v>2939</v>
      </c>
      <c r="G1366" s="1">
        <v>0.50890000000000002</v>
      </c>
      <c r="H1366">
        <v>9</v>
      </c>
      <c r="I1366">
        <v>5751</v>
      </c>
    </row>
    <row r="1367" spans="1:9" x14ac:dyDescent="0.35">
      <c r="A1367" t="s">
        <v>9</v>
      </c>
      <c r="B1367" t="s">
        <v>1292</v>
      </c>
      <c r="C1367" t="s">
        <v>1353</v>
      </c>
      <c r="D1367" t="str">
        <f>"161105"</f>
        <v>161105</v>
      </c>
      <c r="E1367">
        <v>21945</v>
      </c>
      <c r="F1367">
        <v>11324</v>
      </c>
      <c r="G1367" s="1">
        <v>0.51600000000000001</v>
      </c>
      <c r="H1367">
        <v>28</v>
      </c>
      <c r="I1367">
        <v>21865</v>
      </c>
    </row>
    <row r="1368" spans="1:9" x14ac:dyDescent="0.35">
      <c r="A1368" t="s">
        <v>9</v>
      </c>
      <c r="B1368" t="s">
        <v>1292</v>
      </c>
      <c r="C1368" t="s">
        <v>756</v>
      </c>
      <c r="D1368" t="str">
        <f>"161106"</f>
        <v>161106</v>
      </c>
      <c r="E1368">
        <v>4889</v>
      </c>
      <c r="F1368">
        <v>2346</v>
      </c>
      <c r="G1368" s="1">
        <v>0.47989999999999999</v>
      </c>
      <c r="H1368">
        <v>9</v>
      </c>
      <c r="I1368">
        <v>4862</v>
      </c>
    </row>
    <row r="1369" spans="1:9" x14ac:dyDescent="0.35">
      <c r="A1369" t="s">
        <v>9</v>
      </c>
      <c r="B1369" t="s">
        <v>1292</v>
      </c>
      <c r="C1369" t="s">
        <v>1354</v>
      </c>
      <c r="D1369" t="str">
        <f>"161107"</f>
        <v>161107</v>
      </c>
      <c r="E1369">
        <v>8419</v>
      </c>
      <c r="F1369">
        <v>3943</v>
      </c>
      <c r="G1369" s="1">
        <v>0.46829999999999999</v>
      </c>
      <c r="H1369">
        <v>5</v>
      </c>
      <c r="I1369">
        <v>8396</v>
      </c>
    </row>
    <row r="1370" spans="1:9" x14ac:dyDescent="0.35">
      <c r="A1370" t="s">
        <v>9</v>
      </c>
      <c r="B1370" t="s">
        <v>1292</v>
      </c>
      <c r="C1370" t="s">
        <v>1355</v>
      </c>
      <c r="D1370" t="str">
        <f>"166101"</f>
        <v>166101</v>
      </c>
      <c r="E1370">
        <v>94540</v>
      </c>
      <c r="F1370">
        <v>56935</v>
      </c>
      <c r="G1370" s="1">
        <v>0.60219999999999996</v>
      </c>
      <c r="H1370">
        <v>72</v>
      </c>
      <c r="I1370">
        <v>93949</v>
      </c>
    </row>
    <row r="1371" spans="1:9" x14ac:dyDescent="0.35">
      <c r="A1371" t="s">
        <v>9</v>
      </c>
      <c r="B1371" t="s">
        <v>1356</v>
      </c>
      <c r="C1371" t="s">
        <v>1357</v>
      </c>
      <c r="D1371" t="str">
        <f>"180103"</f>
        <v>180103</v>
      </c>
      <c r="E1371">
        <v>1855</v>
      </c>
      <c r="F1371">
        <v>925</v>
      </c>
      <c r="G1371" s="1">
        <v>0.49869999999999998</v>
      </c>
      <c r="H1371">
        <v>5</v>
      </c>
      <c r="I1371">
        <v>1815</v>
      </c>
    </row>
    <row r="1372" spans="1:9" x14ac:dyDescent="0.35">
      <c r="A1372" t="s">
        <v>9</v>
      </c>
      <c r="B1372" t="s">
        <v>1356</v>
      </c>
      <c r="C1372" t="s">
        <v>1358</v>
      </c>
      <c r="D1372" t="str">
        <f>"180105"</f>
        <v>180105</v>
      </c>
      <c r="E1372">
        <v>2117</v>
      </c>
      <c r="F1372">
        <v>1347</v>
      </c>
      <c r="G1372" s="1">
        <v>0.63629999999999998</v>
      </c>
      <c r="H1372">
        <v>4</v>
      </c>
      <c r="I1372">
        <v>1938</v>
      </c>
    </row>
    <row r="1373" spans="1:9" x14ac:dyDescent="0.35">
      <c r="A1373" t="s">
        <v>9</v>
      </c>
      <c r="B1373" t="s">
        <v>1356</v>
      </c>
      <c r="C1373" t="s">
        <v>1359</v>
      </c>
      <c r="D1373" t="str">
        <f>"180108"</f>
        <v>180108</v>
      </c>
      <c r="E1373">
        <v>13088</v>
      </c>
      <c r="F1373">
        <v>6775</v>
      </c>
      <c r="G1373" s="1">
        <v>0.51759999999999995</v>
      </c>
      <c r="H1373">
        <v>27</v>
      </c>
      <c r="I1373">
        <v>12818</v>
      </c>
    </row>
    <row r="1374" spans="1:9" x14ac:dyDescent="0.35">
      <c r="A1374" t="s">
        <v>9</v>
      </c>
      <c r="B1374" t="s">
        <v>1356</v>
      </c>
      <c r="C1374" t="s">
        <v>1360</v>
      </c>
      <c r="D1374" t="str">
        <f>"180201"</f>
        <v>180201</v>
      </c>
      <c r="E1374">
        <v>19777</v>
      </c>
      <c r="F1374">
        <v>10318</v>
      </c>
      <c r="G1374" s="1">
        <v>0.52170000000000005</v>
      </c>
      <c r="H1374">
        <v>15</v>
      </c>
      <c r="I1374">
        <v>19699</v>
      </c>
    </row>
    <row r="1375" spans="1:9" x14ac:dyDescent="0.35">
      <c r="A1375" t="s">
        <v>9</v>
      </c>
      <c r="B1375" t="s">
        <v>1356</v>
      </c>
      <c r="C1375" t="s">
        <v>1361</v>
      </c>
      <c r="D1375" t="str">
        <f>"180202"</f>
        <v>180202</v>
      </c>
      <c r="E1375">
        <v>4575</v>
      </c>
      <c r="F1375">
        <v>2511</v>
      </c>
      <c r="G1375" s="1">
        <v>0.54890000000000005</v>
      </c>
      <c r="H1375">
        <v>6</v>
      </c>
      <c r="I1375">
        <v>4549</v>
      </c>
    </row>
    <row r="1376" spans="1:9" x14ac:dyDescent="0.35">
      <c r="A1376" t="s">
        <v>9</v>
      </c>
      <c r="B1376" t="s">
        <v>1356</v>
      </c>
      <c r="C1376" t="s">
        <v>1362</v>
      </c>
      <c r="D1376" t="str">
        <f>"180203"</f>
        <v>180203</v>
      </c>
      <c r="E1376">
        <v>6134</v>
      </c>
      <c r="F1376">
        <v>3109</v>
      </c>
      <c r="G1376" s="1">
        <v>0.50680000000000003</v>
      </c>
      <c r="H1376">
        <v>12</v>
      </c>
      <c r="I1376">
        <v>6097</v>
      </c>
    </row>
    <row r="1377" spans="1:9" x14ac:dyDescent="0.35">
      <c r="A1377" t="s">
        <v>9</v>
      </c>
      <c r="B1377" t="s">
        <v>1356</v>
      </c>
      <c r="C1377" t="s">
        <v>1363</v>
      </c>
      <c r="D1377" t="str">
        <f>"180204"</f>
        <v>180204</v>
      </c>
      <c r="E1377">
        <v>7001</v>
      </c>
      <c r="F1377">
        <v>3828</v>
      </c>
      <c r="G1377" s="1">
        <v>0.54679999999999995</v>
      </c>
      <c r="H1377">
        <v>8</v>
      </c>
      <c r="I1377">
        <v>6976</v>
      </c>
    </row>
    <row r="1378" spans="1:9" x14ac:dyDescent="0.35">
      <c r="A1378" t="s">
        <v>9</v>
      </c>
      <c r="B1378" t="s">
        <v>1356</v>
      </c>
      <c r="C1378" t="s">
        <v>1364</v>
      </c>
      <c r="D1378" t="str">
        <f>"180205"</f>
        <v>180205</v>
      </c>
      <c r="E1378">
        <v>5856</v>
      </c>
      <c r="F1378">
        <v>3744</v>
      </c>
      <c r="G1378" s="1">
        <v>0.63929999999999998</v>
      </c>
      <c r="H1378">
        <v>5</v>
      </c>
      <c r="I1378">
        <v>5804</v>
      </c>
    </row>
    <row r="1379" spans="1:9" x14ac:dyDescent="0.35">
      <c r="A1379" t="s">
        <v>9</v>
      </c>
      <c r="B1379" t="s">
        <v>1356</v>
      </c>
      <c r="C1379" t="s">
        <v>1365</v>
      </c>
      <c r="D1379" t="str">
        <f>"180206"</f>
        <v>180206</v>
      </c>
      <c r="E1379">
        <v>6148</v>
      </c>
      <c r="F1379">
        <v>3258</v>
      </c>
      <c r="G1379" s="1">
        <v>0.52990000000000004</v>
      </c>
      <c r="H1379">
        <v>11</v>
      </c>
      <c r="I1379">
        <v>6091</v>
      </c>
    </row>
    <row r="1380" spans="1:9" x14ac:dyDescent="0.35">
      <c r="A1380" t="s">
        <v>9</v>
      </c>
      <c r="B1380" t="s">
        <v>1356</v>
      </c>
      <c r="C1380" t="s">
        <v>1366</v>
      </c>
      <c r="D1380" t="str">
        <f>"180301"</f>
        <v>180301</v>
      </c>
      <c r="E1380">
        <v>32859</v>
      </c>
      <c r="F1380">
        <v>19032</v>
      </c>
      <c r="G1380" s="1">
        <v>0.57920000000000005</v>
      </c>
      <c r="H1380">
        <v>21</v>
      </c>
      <c r="I1380">
        <v>32735</v>
      </c>
    </row>
    <row r="1381" spans="1:9" x14ac:dyDescent="0.35">
      <c r="A1381" t="s">
        <v>9</v>
      </c>
      <c r="B1381" t="s">
        <v>1356</v>
      </c>
      <c r="C1381" t="s">
        <v>1367</v>
      </c>
      <c r="D1381" t="str">
        <f>"180302"</f>
        <v>180302</v>
      </c>
      <c r="E1381">
        <v>9939</v>
      </c>
      <c r="F1381">
        <v>5645</v>
      </c>
      <c r="G1381" s="1">
        <v>0.56799999999999995</v>
      </c>
      <c r="H1381">
        <v>20</v>
      </c>
      <c r="I1381">
        <v>9868</v>
      </c>
    </row>
    <row r="1382" spans="1:9" x14ac:dyDescent="0.35">
      <c r="A1382" t="s">
        <v>9</v>
      </c>
      <c r="B1382" t="s">
        <v>1356</v>
      </c>
      <c r="C1382" t="s">
        <v>1357</v>
      </c>
      <c r="D1382" t="str">
        <f>"180303"</f>
        <v>180303</v>
      </c>
      <c r="E1382">
        <v>9933</v>
      </c>
      <c r="F1382">
        <v>5718</v>
      </c>
      <c r="G1382" s="1">
        <v>0.57569999999999999</v>
      </c>
      <c r="H1382">
        <v>14</v>
      </c>
      <c r="I1382">
        <v>9902</v>
      </c>
    </row>
    <row r="1383" spans="1:9" x14ac:dyDescent="0.35">
      <c r="A1383" t="s">
        <v>9</v>
      </c>
      <c r="B1383" t="s">
        <v>1356</v>
      </c>
      <c r="C1383" t="s">
        <v>1368</v>
      </c>
      <c r="D1383" t="str">
        <f>"180304"</f>
        <v>180304</v>
      </c>
      <c r="E1383">
        <v>19367</v>
      </c>
      <c r="F1383">
        <v>10274</v>
      </c>
      <c r="G1383" s="1">
        <v>0.53049999999999997</v>
      </c>
      <c r="H1383">
        <v>22</v>
      </c>
      <c r="I1383">
        <v>19316</v>
      </c>
    </row>
    <row r="1384" spans="1:9" x14ac:dyDescent="0.35">
      <c r="A1384" t="s">
        <v>9</v>
      </c>
      <c r="B1384" t="s">
        <v>1356</v>
      </c>
      <c r="C1384" t="s">
        <v>1369</v>
      </c>
      <c r="D1384" t="str">
        <f>"180305"</f>
        <v>180305</v>
      </c>
      <c r="E1384">
        <v>4113</v>
      </c>
      <c r="F1384">
        <v>2093</v>
      </c>
      <c r="G1384" s="1">
        <v>0.50890000000000002</v>
      </c>
      <c r="H1384">
        <v>6</v>
      </c>
      <c r="I1384">
        <v>4089</v>
      </c>
    </row>
    <row r="1385" spans="1:9" x14ac:dyDescent="0.35">
      <c r="A1385" t="s">
        <v>9</v>
      </c>
      <c r="B1385" t="s">
        <v>1356</v>
      </c>
      <c r="C1385" t="s">
        <v>1370</v>
      </c>
      <c r="D1385" t="str">
        <f>"180306"</f>
        <v>180306</v>
      </c>
      <c r="E1385">
        <v>13935</v>
      </c>
      <c r="F1385">
        <v>8360</v>
      </c>
      <c r="G1385" s="1">
        <v>0.59989999999999999</v>
      </c>
      <c r="H1385">
        <v>16</v>
      </c>
      <c r="I1385">
        <v>13869</v>
      </c>
    </row>
    <row r="1386" spans="1:9" x14ac:dyDescent="0.35">
      <c r="A1386" t="s">
        <v>9</v>
      </c>
      <c r="B1386" t="s">
        <v>1356</v>
      </c>
      <c r="C1386" t="s">
        <v>1371</v>
      </c>
      <c r="D1386" t="str">
        <f>"180307"</f>
        <v>180307</v>
      </c>
      <c r="E1386">
        <v>10956</v>
      </c>
      <c r="F1386">
        <v>6260</v>
      </c>
      <c r="G1386" s="1">
        <v>0.57140000000000002</v>
      </c>
      <c r="H1386">
        <v>13</v>
      </c>
      <c r="I1386">
        <v>10900</v>
      </c>
    </row>
    <row r="1387" spans="1:9" x14ac:dyDescent="0.35">
      <c r="A1387" t="s">
        <v>9</v>
      </c>
      <c r="B1387" t="s">
        <v>1356</v>
      </c>
      <c r="C1387" t="s">
        <v>1372</v>
      </c>
      <c r="D1387" t="str">
        <f>"180401"</f>
        <v>180401</v>
      </c>
      <c r="E1387">
        <v>27257</v>
      </c>
      <c r="F1387">
        <v>14644</v>
      </c>
      <c r="G1387" s="1">
        <v>0.5373</v>
      </c>
      <c r="H1387">
        <v>21</v>
      </c>
      <c r="I1387">
        <v>26998</v>
      </c>
    </row>
    <row r="1388" spans="1:9" x14ac:dyDescent="0.35">
      <c r="A1388" t="s">
        <v>9</v>
      </c>
      <c r="B1388" t="s">
        <v>1356</v>
      </c>
      <c r="C1388" t="s">
        <v>1373</v>
      </c>
      <c r="D1388" t="str">
        <f>"180402"</f>
        <v>180402</v>
      </c>
      <c r="E1388">
        <v>3970</v>
      </c>
      <c r="F1388">
        <v>2015</v>
      </c>
      <c r="G1388" s="1">
        <v>0.50760000000000005</v>
      </c>
      <c r="H1388">
        <v>3</v>
      </c>
      <c r="I1388">
        <v>3950</v>
      </c>
    </row>
    <row r="1389" spans="1:9" x14ac:dyDescent="0.35">
      <c r="A1389" t="s">
        <v>9</v>
      </c>
      <c r="B1389" t="s">
        <v>1356</v>
      </c>
      <c r="C1389" t="s">
        <v>1374</v>
      </c>
      <c r="D1389" t="str">
        <f>"180403"</f>
        <v>180403</v>
      </c>
      <c r="E1389">
        <v>4256</v>
      </c>
      <c r="F1389">
        <v>2245</v>
      </c>
      <c r="G1389" s="1">
        <v>0.52749999999999997</v>
      </c>
      <c r="H1389">
        <v>7</v>
      </c>
      <c r="I1389">
        <v>4248</v>
      </c>
    </row>
    <row r="1390" spans="1:9" x14ac:dyDescent="0.35">
      <c r="A1390" t="s">
        <v>9</v>
      </c>
      <c r="B1390" t="s">
        <v>1356</v>
      </c>
      <c r="C1390" t="s">
        <v>1375</v>
      </c>
      <c r="D1390" t="str">
        <f>"180404"</f>
        <v>180404</v>
      </c>
      <c r="E1390">
        <v>9978</v>
      </c>
      <c r="F1390">
        <v>5400</v>
      </c>
      <c r="G1390" s="1">
        <v>0.54120000000000001</v>
      </c>
      <c r="H1390">
        <v>12</v>
      </c>
      <c r="I1390">
        <v>9946</v>
      </c>
    </row>
    <row r="1391" spans="1:9" x14ac:dyDescent="0.35">
      <c r="A1391" t="s">
        <v>9</v>
      </c>
      <c r="B1391" t="s">
        <v>1356</v>
      </c>
      <c r="C1391" t="s">
        <v>1376</v>
      </c>
      <c r="D1391" t="str">
        <f>"180405"</f>
        <v>180405</v>
      </c>
      <c r="E1391">
        <v>5104</v>
      </c>
      <c r="F1391">
        <v>2704</v>
      </c>
      <c r="G1391" s="1">
        <v>0.52980000000000005</v>
      </c>
      <c r="H1391">
        <v>11</v>
      </c>
      <c r="I1391">
        <v>5086</v>
      </c>
    </row>
    <row r="1392" spans="1:9" x14ac:dyDescent="0.35">
      <c r="A1392" t="s">
        <v>9</v>
      </c>
      <c r="B1392" t="s">
        <v>1356</v>
      </c>
      <c r="C1392" t="s">
        <v>1377</v>
      </c>
      <c r="D1392" t="str">
        <f>"180406"</f>
        <v>180406</v>
      </c>
      <c r="E1392">
        <v>6476</v>
      </c>
      <c r="F1392">
        <v>3618</v>
      </c>
      <c r="G1392" s="1">
        <v>0.55869999999999997</v>
      </c>
      <c r="H1392">
        <v>10</v>
      </c>
      <c r="I1392">
        <v>6444</v>
      </c>
    </row>
    <row r="1393" spans="1:9" x14ac:dyDescent="0.35">
      <c r="A1393" t="s">
        <v>9</v>
      </c>
      <c r="B1393" t="s">
        <v>1356</v>
      </c>
      <c r="C1393" t="s">
        <v>1378</v>
      </c>
      <c r="D1393" t="str">
        <f>"180407"</f>
        <v>180407</v>
      </c>
      <c r="E1393">
        <v>7336</v>
      </c>
      <c r="F1393">
        <v>4121</v>
      </c>
      <c r="G1393" s="1">
        <v>0.56179999999999997</v>
      </c>
      <c r="H1393">
        <v>11</v>
      </c>
      <c r="I1393">
        <v>7319</v>
      </c>
    </row>
    <row r="1394" spans="1:9" x14ac:dyDescent="0.35">
      <c r="A1394" t="s">
        <v>9</v>
      </c>
      <c r="B1394" t="s">
        <v>1356</v>
      </c>
      <c r="C1394" t="s">
        <v>1379</v>
      </c>
      <c r="D1394" t="str">
        <f>"180408"</f>
        <v>180408</v>
      </c>
      <c r="E1394">
        <v>8389</v>
      </c>
      <c r="F1394">
        <v>4160</v>
      </c>
      <c r="G1394" s="1">
        <v>0.49590000000000001</v>
      </c>
      <c r="H1394">
        <v>13</v>
      </c>
      <c r="I1394">
        <v>8387</v>
      </c>
    </row>
    <row r="1395" spans="1:9" x14ac:dyDescent="0.35">
      <c r="A1395" t="s">
        <v>9</v>
      </c>
      <c r="B1395" t="s">
        <v>1356</v>
      </c>
      <c r="C1395" t="s">
        <v>1380</v>
      </c>
      <c r="D1395" t="str">
        <f>"180409"</f>
        <v>180409</v>
      </c>
      <c r="E1395">
        <v>3291</v>
      </c>
      <c r="F1395">
        <v>1720</v>
      </c>
      <c r="G1395" s="1">
        <v>0.52259999999999995</v>
      </c>
      <c r="H1395">
        <v>5</v>
      </c>
      <c r="I1395">
        <v>3286</v>
      </c>
    </row>
    <row r="1396" spans="1:9" x14ac:dyDescent="0.35">
      <c r="A1396" t="s">
        <v>9</v>
      </c>
      <c r="B1396" t="s">
        <v>1356</v>
      </c>
      <c r="C1396" t="s">
        <v>1381</v>
      </c>
      <c r="D1396" t="str">
        <f>"180410"</f>
        <v>180410</v>
      </c>
      <c r="E1396">
        <v>4770</v>
      </c>
      <c r="F1396">
        <v>2616</v>
      </c>
      <c r="G1396" s="1">
        <v>0.5484</v>
      </c>
      <c r="H1396">
        <v>12</v>
      </c>
      <c r="I1396">
        <v>4760</v>
      </c>
    </row>
    <row r="1397" spans="1:9" x14ac:dyDescent="0.35">
      <c r="A1397" t="s">
        <v>9</v>
      </c>
      <c r="B1397" t="s">
        <v>1356</v>
      </c>
      <c r="C1397" t="s">
        <v>1382</v>
      </c>
      <c r="D1397" t="str">
        <f>"180411"</f>
        <v>180411</v>
      </c>
      <c r="E1397">
        <v>9014</v>
      </c>
      <c r="F1397">
        <v>5011</v>
      </c>
      <c r="G1397" s="1">
        <v>0.55589999999999995</v>
      </c>
      <c r="H1397">
        <v>11</v>
      </c>
      <c r="I1397">
        <v>8941</v>
      </c>
    </row>
    <row r="1398" spans="1:9" x14ac:dyDescent="0.35">
      <c r="A1398" t="s">
        <v>9</v>
      </c>
      <c r="B1398" t="s">
        <v>1356</v>
      </c>
      <c r="C1398" t="s">
        <v>1383</v>
      </c>
      <c r="D1398" t="str">
        <f>"180501"</f>
        <v>180501</v>
      </c>
      <c r="E1398">
        <v>25641</v>
      </c>
      <c r="F1398">
        <v>14310</v>
      </c>
      <c r="G1398" s="1">
        <v>0.55810000000000004</v>
      </c>
      <c r="H1398">
        <v>27</v>
      </c>
      <c r="I1398">
        <v>25496</v>
      </c>
    </row>
    <row r="1399" spans="1:9" x14ac:dyDescent="0.35">
      <c r="A1399" t="s">
        <v>9</v>
      </c>
      <c r="B1399" t="s">
        <v>1356</v>
      </c>
      <c r="C1399" t="s">
        <v>1384</v>
      </c>
      <c r="D1399" t="str">
        <f>"180502"</f>
        <v>180502</v>
      </c>
      <c r="E1399">
        <v>5031</v>
      </c>
      <c r="F1399">
        <v>2993</v>
      </c>
      <c r="G1399" s="1">
        <v>0.59489999999999998</v>
      </c>
      <c r="H1399">
        <v>9</v>
      </c>
      <c r="I1399">
        <v>5014</v>
      </c>
    </row>
    <row r="1400" spans="1:9" x14ac:dyDescent="0.35">
      <c r="A1400" t="s">
        <v>9</v>
      </c>
      <c r="B1400" t="s">
        <v>1356</v>
      </c>
      <c r="C1400" t="s">
        <v>1385</v>
      </c>
      <c r="D1400" t="str">
        <f>"180503"</f>
        <v>180503</v>
      </c>
      <c r="E1400">
        <v>6637</v>
      </c>
      <c r="F1400">
        <v>3752</v>
      </c>
      <c r="G1400" s="1">
        <v>0.56530000000000002</v>
      </c>
      <c r="H1400">
        <v>10</v>
      </c>
      <c r="I1400">
        <v>6594</v>
      </c>
    </row>
    <row r="1401" spans="1:9" x14ac:dyDescent="0.35">
      <c r="A1401" t="s">
        <v>9</v>
      </c>
      <c r="B1401" t="s">
        <v>1356</v>
      </c>
      <c r="C1401" t="s">
        <v>1386</v>
      </c>
      <c r="D1401" t="str">
        <f>"180504"</f>
        <v>180504</v>
      </c>
      <c r="E1401">
        <v>12516</v>
      </c>
      <c r="F1401">
        <v>7246</v>
      </c>
      <c r="G1401" s="1">
        <v>0.57889999999999997</v>
      </c>
      <c r="H1401">
        <v>21</v>
      </c>
      <c r="I1401">
        <v>12501</v>
      </c>
    </row>
    <row r="1402" spans="1:9" x14ac:dyDescent="0.35">
      <c r="A1402" t="s">
        <v>9</v>
      </c>
      <c r="B1402" t="s">
        <v>1356</v>
      </c>
      <c r="C1402" t="s">
        <v>1387</v>
      </c>
      <c r="D1402" t="str">
        <f>"180505"</f>
        <v>180505</v>
      </c>
      <c r="E1402">
        <v>6907</v>
      </c>
      <c r="F1402">
        <v>4052</v>
      </c>
      <c r="G1402" s="1">
        <v>0.5867</v>
      </c>
      <c r="H1402">
        <v>8</v>
      </c>
      <c r="I1402">
        <v>6882</v>
      </c>
    </row>
    <row r="1403" spans="1:9" x14ac:dyDescent="0.35">
      <c r="A1403" t="s">
        <v>9</v>
      </c>
      <c r="B1403" t="s">
        <v>1356</v>
      </c>
      <c r="C1403" t="s">
        <v>1388</v>
      </c>
      <c r="D1403" t="str">
        <f>"180506"</f>
        <v>180506</v>
      </c>
      <c r="E1403">
        <v>1451</v>
      </c>
      <c r="F1403">
        <v>738</v>
      </c>
      <c r="G1403" s="1">
        <v>0.50860000000000005</v>
      </c>
      <c r="H1403">
        <v>5</v>
      </c>
      <c r="I1403">
        <v>1421</v>
      </c>
    </row>
    <row r="1404" spans="1:9" x14ac:dyDescent="0.35">
      <c r="A1404" t="s">
        <v>9</v>
      </c>
      <c r="B1404" t="s">
        <v>1356</v>
      </c>
      <c r="C1404" t="s">
        <v>1389</v>
      </c>
      <c r="D1404" t="str">
        <f>"180507"</f>
        <v>180507</v>
      </c>
      <c r="E1404">
        <v>6943</v>
      </c>
      <c r="F1404">
        <v>3841</v>
      </c>
      <c r="G1404" s="1">
        <v>0.55320000000000003</v>
      </c>
      <c r="H1404">
        <v>14</v>
      </c>
      <c r="I1404">
        <v>6902</v>
      </c>
    </row>
    <row r="1405" spans="1:9" x14ac:dyDescent="0.35">
      <c r="A1405" t="s">
        <v>9</v>
      </c>
      <c r="B1405" t="s">
        <v>1356</v>
      </c>
      <c r="C1405" t="s">
        <v>1390</v>
      </c>
      <c r="D1405" t="str">
        <f>"180508"</f>
        <v>180508</v>
      </c>
      <c r="E1405">
        <v>4070</v>
      </c>
      <c r="F1405">
        <v>2172</v>
      </c>
      <c r="G1405" s="1">
        <v>0.53369999999999995</v>
      </c>
      <c r="H1405">
        <v>8</v>
      </c>
      <c r="I1405">
        <v>4057</v>
      </c>
    </row>
    <row r="1406" spans="1:9" x14ac:dyDescent="0.35">
      <c r="A1406" t="s">
        <v>9</v>
      </c>
      <c r="B1406" t="s">
        <v>1356</v>
      </c>
      <c r="C1406" t="s">
        <v>1391</v>
      </c>
      <c r="D1406" t="str">
        <f>"180509"</f>
        <v>180509</v>
      </c>
      <c r="E1406">
        <v>9598</v>
      </c>
      <c r="F1406">
        <v>5374</v>
      </c>
      <c r="G1406" s="1">
        <v>0.55989999999999995</v>
      </c>
      <c r="H1406">
        <v>12</v>
      </c>
      <c r="I1406">
        <v>9550</v>
      </c>
    </row>
    <row r="1407" spans="1:9" x14ac:dyDescent="0.35">
      <c r="A1407" t="s">
        <v>9</v>
      </c>
      <c r="B1407" t="s">
        <v>1356</v>
      </c>
      <c r="C1407" t="s">
        <v>1392</v>
      </c>
      <c r="D1407" t="str">
        <f>"180511"</f>
        <v>180511</v>
      </c>
      <c r="E1407">
        <v>7100</v>
      </c>
      <c r="F1407">
        <v>3755</v>
      </c>
      <c r="G1407" s="1">
        <v>0.52890000000000004</v>
      </c>
      <c r="H1407">
        <v>10</v>
      </c>
      <c r="I1407">
        <v>7085</v>
      </c>
    </row>
    <row r="1408" spans="1:9" x14ac:dyDescent="0.35">
      <c r="A1408" t="s">
        <v>9</v>
      </c>
      <c r="B1408" t="s">
        <v>1356</v>
      </c>
      <c r="C1408" t="s">
        <v>1393</v>
      </c>
      <c r="D1408" t="str">
        <f>"180601"</f>
        <v>180601</v>
      </c>
      <c r="E1408">
        <v>6190</v>
      </c>
      <c r="F1408">
        <v>3424</v>
      </c>
      <c r="G1408" s="1">
        <v>0.55320000000000003</v>
      </c>
      <c r="H1408">
        <v>8</v>
      </c>
      <c r="I1408">
        <v>6172</v>
      </c>
    </row>
    <row r="1409" spans="1:9" x14ac:dyDescent="0.35">
      <c r="A1409" t="s">
        <v>9</v>
      </c>
      <c r="B1409" t="s">
        <v>1356</v>
      </c>
      <c r="C1409" t="s">
        <v>1394</v>
      </c>
      <c r="D1409" t="str">
        <f>"180602"</f>
        <v>180602</v>
      </c>
      <c r="E1409">
        <v>18744</v>
      </c>
      <c r="F1409">
        <v>10115</v>
      </c>
      <c r="G1409" s="1">
        <v>0.53959999999999997</v>
      </c>
      <c r="H1409">
        <v>23</v>
      </c>
      <c r="I1409">
        <v>18693</v>
      </c>
    </row>
    <row r="1410" spans="1:9" x14ac:dyDescent="0.35">
      <c r="A1410" t="s">
        <v>9</v>
      </c>
      <c r="B1410" t="s">
        <v>1356</v>
      </c>
      <c r="C1410" t="s">
        <v>1395</v>
      </c>
      <c r="D1410" t="str">
        <f>"180603"</f>
        <v>180603</v>
      </c>
      <c r="E1410">
        <v>7480</v>
      </c>
      <c r="F1410">
        <v>3719</v>
      </c>
      <c r="G1410" s="1">
        <v>0.49719999999999998</v>
      </c>
      <c r="H1410">
        <v>8</v>
      </c>
      <c r="I1410">
        <v>7465</v>
      </c>
    </row>
    <row r="1411" spans="1:9" x14ac:dyDescent="0.35">
      <c r="A1411" t="s">
        <v>9</v>
      </c>
      <c r="B1411" t="s">
        <v>1356</v>
      </c>
      <c r="C1411" t="s">
        <v>1396</v>
      </c>
      <c r="D1411" t="str">
        <f>"180604"</f>
        <v>180604</v>
      </c>
      <c r="E1411">
        <v>4624</v>
      </c>
      <c r="F1411">
        <v>2544</v>
      </c>
      <c r="G1411" s="1">
        <v>0.55020000000000002</v>
      </c>
      <c r="H1411">
        <v>9</v>
      </c>
      <c r="I1411">
        <v>4612</v>
      </c>
    </row>
    <row r="1412" spans="1:9" x14ac:dyDescent="0.35">
      <c r="A1412" t="s">
        <v>9</v>
      </c>
      <c r="B1412" t="s">
        <v>1356</v>
      </c>
      <c r="C1412" t="s">
        <v>1397</v>
      </c>
      <c r="D1412" t="str">
        <f>"180605"</f>
        <v>180605</v>
      </c>
      <c r="E1412">
        <v>5356</v>
      </c>
      <c r="F1412">
        <v>2899</v>
      </c>
      <c r="G1412" s="1">
        <v>0.5413</v>
      </c>
      <c r="H1412">
        <v>8</v>
      </c>
      <c r="I1412">
        <v>5343</v>
      </c>
    </row>
    <row r="1413" spans="1:9" x14ac:dyDescent="0.35">
      <c r="A1413" t="s">
        <v>9</v>
      </c>
      <c r="B1413" t="s">
        <v>1356</v>
      </c>
      <c r="C1413" t="s">
        <v>1398</v>
      </c>
      <c r="D1413" t="str">
        <f>"180606"</f>
        <v>180606</v>
      </c>
      <c r="E1413">
        <v>4908</v>
      </c>
      <c r="F1413">
        <v>2270</v>
      </c>
      <c r="G1413" s="1">
        <v>0.46250000000000002</v>
      </c>
      <c r="H1413">
        <v>7</v>
      </c>
      <c r="I1413">
        <v>4899</v>
      </c>
    </row>
    <row r="1414" spans="1:9" x14ac:dyDescent="0.35">
      <c r="A1414" t="s">
        <v>9</v>
      </c>
      <c r="B1414" t="s">
        <v>1356</v>
      </c>
      <c r="C1414" t="s">
        <v>1399</v>
      </c>
      <c r="D1414" t="str">
        <f>"180701"</f>
        <v>180701</v>
      </c>
      <c r="E1414">
        <v>10392</v>
      </c>
      <c r="F1414">
        <v>5505</v>
      </c>
      <c r="G1414" s="1">
        <v>0.52969999999999995</v>
      </c>
      <c r="H1414">
        <v>14</v>
      </c>
      <c r="I1414">
        <v>10349</v>
      </c>
    </row>
    <row r="1415" spans="1:9" x14ac:dyDescent="0.35">
      <c r="A1415" t="s">
        <v>9</v>
      </c>
      <c r="B1415" t="s">
        <v>1356</v>
      </c>
      <c r="C1415" t="s">
        <v>1400</v>
      </c>
      <c r="D1415" t="str">
        <f>"180702"</f>
        <v>180702</v>
      </c>
      <c r="E1415">
        <v>11004</v>
      </c>
      <c r="F1415">
        <v>5866</v>
      </c>
      <c r="G1415" s="1">
        <v>0.53310000000000002</v>
      </c>
      <c r="H1415">
        <v>15</v>
      </c>
      <c r="I1415">
        <v>10935</v>
      </c>
    </row>
    <row r="1416" spans="1:9" x14ac:dyDescent="0.35">
      <c r="A1416" t="s">
        <v>9</v>
      </c>
      <c r="B1416" t="s">
        <v>1356</v>
      </c>
      <c r="C1416" t="s">
        <v>1401</v>
      </c>
      <c r="D1416" t="str">
        <f>"180703"</f>
        <v>180703</v>
      </c>
      <c r="E1416">
        <v>8849</v>
      </c>
      <c r="F1416">
        <v>4846</v>
      </c>
      <c r="G1416" s="1">
        <v>0.54759999999999998</v>
      </c>
      <c r="H1416">
        <v>6</v>
      </c>
      <c r="I1416">
        <v>8076</v>
      </c>
    </row>
    <row r="1417" spans="1:9" x14ac:dyDescent="0.35">
      <c r="A1417" t="s">
        <v>9</v>
      </c>
      <c r="B1417" t="s">
        <v>1356</v>
      </c>
      <c r="C1417" t="s">
        <v>1402</v>
      </c>
      <c r="D1417" t="str">
        <f>"180704"</f>
        <v>180704</v>
      </c>
      <c r="E1417">
        <v>11553</v>
      </c>
      <c r="F1417">
        <v>6249</v>
      </c>
      <c r="G1417" s="1">
        <v>0.54090000000000005</v>
      </c>
      <c r="H1417">
        <v>17</v>
      </c>
      <c r="I1417">
        <v>11498</v>
      </c>
    </row>
    <row r="1418" spans="1:9" x14ac:dyDescent="0.35">
      <c r="A1418" t="s">
        <v>9</v>
      </c>
      <c r="B1418" t="s">
        <v>1356</v>
      </c>
      <c r="C1418" t="s">
        <v>1403</v>
      </c>
      <c r="D1418" t="str">
        <f>"180705"</f>
        <v>180705</v>
      </c>
      <c r="E1418">
        <v>8715</v>
      </c>
      <c r="F1418">
        <v>4944</v>
      </c>
      <c r="G1418" s="1">
        <v>0.56730000000000003</v>
      </c>
      <c r="H1418">
        <v>10</v>
      </c>
      <c r="I1418">
        <v>8521</v>
      </c>
    </row>
    <row r="1419" spans="1:9" x14ac:dyDescent="0.35">
      <c r="A1419" t="s">
        <v>9</v>
      </c>
      <c r="B1419" t="s">
        <v>1356</v>
      </c>
      <c r="C1419" t="s">
        <v>1404</v>
      </c>
      <c r="D1419" t="str">
        <f>"180706"</f>
        <v>180706</v>
      </c>
      <c r="E1419">
        <v>4196</v>
      </c>
      <c r="F1419">
        <v>2494</v>
      </c>
      <c r="G1419" s="1">
        <v>0.59440000000000004</v>
      </c>
      <c r="H1419">
        <v>4</v>
      </c>
      <c r="I1419">
        <v>4193</v>
      </c>
    </row>
    <row r="1420" spans="1:9" x14ac:dyDescent="0.35">
      <c r="A1420" t="s">
        <v>9</v>
      </c>
      <c r="B1420" t="s">
        <v>1356</v>
      </c>
      <c r="C1420" t="s">
        <v>1405</v>
      </c>
      <c r="D1420" t="str">
        <f>"180707"</f>
        <v>180707</v>
      </c>
      <c r="E1420">
        <v>10424</v>
      </c>
      <c r="F1420">
        <v>6039</v>
      </c>
      <c r="G1420" s="1">
        <v>0.57930000000000004</v>
      </c>
      <c r="H1420">
        <v>9</v>
      </c>
      <c r="I1420">
        <v>10340</v>
      </c>
    </row>
    <row r="1421" spans="1:9" x14ac:dyDescent="0.35">
      <c r="A1421" t="s">
        <v>9</v>
      </c>
      <c r="B1421" t="s">
        <v>1356</v>
      </c>
      <c r="C1421" t="s">
        <v>1406</v>
      </c>
      <c r="D1421" t="str">
        <f>"180708"</f>
        <v>180708</v>
      </c>
      <c r="E1421">
        <v>12391</v>
      </c>
      <c r="F1421">
        <v>7091</v>
      </c>
      <c r="G1421" s="1">
        <v>0.57230000000000003</v>
      </c>
      <c r="H1421">
        <v>13</v>
      </c>
      <c r="I1421">
        <v>11861</v>
      </c>
    </row>
    <row r="1422" spans="1:9" x14ac:dyDescent="0.35">
      <c r="A1422" t="s">
        <v>9</v>
      </c>
      <c r="B1422" t="s">
        <v>1356</v>
      </c>
      <c r="C1422" t="s">
        <v>1407</v>
      </c>
      <c r="D1422" t="str">
        <f>"180709"</f>
        <v>180709</v>
      </c>
      <c r="E1422">
        <v>7199</v>
      </c>
      <c r="F1422">
        <v>3564</v>
      </c>
      <c r="G1422" s="1">
        <v>0.49509999999999998</v>
      </c>
      <c r="H1422">
        <v>11</v>
      </c>
      <c r="I1422">
        <v>7157</v>
      </c>
    </row>
    <row r="1423" spans="1:9" x14ac:dyDescent="0.35">
      <c r="A1423" t="s">
        <v>9</v>
      </c>
      <c r="B1423" t="s">
        <v>1356</v>
      </c>
      <c r="C1423" t="s">
        <v>1408</v>
      </c>
      <c r="D1423" t="str">
        <f>"180710"</f>
        <v>180710</v>
      </c>
      <c r="E1423">
        <v>1607</v>
      </c>
      <c r="F1423">
        <v>868</v>
      </c>
      <c r="G1423" s="1">
        <v>0.54010000000000002</v>
      </c>
      <c r="H1423">
        <v>4</v>
      </c>
      <c r="I1423">
        <v>1595</v>
      </c>
    </row>
    <row r="1424" spans="1:9" x14ac:dyDescent="0.35">
      <c r="A1424" t="s">
        <v>9</v>
      </c>
      <c r="B1424" t="s">
        <v>1356</v>
      </c>
      <c r="C1424" t="s">
        <v>1409</v>
      </c>
      <c r="D1424" t="str">
        <f>"180801"</f>
        <v>180801</v>
      </c>
      <c r="E1424">
        <v>10108</v>
      </c>
      <c r="F1424">
        <v>5370</v>
      </c>
      <c r="G1424" s="1">
        <v>0.53129999999999999</v>
      </c>
      <c r="H1424">
        <v>8</v>
      </c>
      <c r="I1424">
        <v>10047</v>
      </c>
    </row>
    <row r="1425" spans="1:9" x14ac:dyDescent="0.35">
      <c r="A1425" t="s">
        <v>9</v>
      </c>
      <c r="B1425" t="s">
        <v>1356</v>
      </c>
      <c r="C1425" t="s">
        <v>1410</v>
      </c>
      <c r="D1425" t="str">
        <f>"180802"</f>
        <v>180802</v>
      </c>
      <c r="E1425">
        <v>6088</v>
      </c>
      <c r="F1425">
        <v>3412</v>
      </c>
      <c r="G1425" s="1">
        <v>0.56040000000000001</v>
      </c>
      <c r="H1425">
        <v>7</v>
      </c>
      <c r="I1425">
        <v>6070</v>
      </c>
    </row>
    <row r="1426" spans="1:9" x14ac:dyDescent="0.35">
      <c r="A1426" t="s">
        <v>9</v>
      </c>
      <c r="B1426" t="s">
        <v>1356</v>
      </c>
      <c r="C1426" t="s">
        <v>1411</v>
      </c>
      <c r="D1426" t="str">
        <f>"180803"</f>
        <v>180803</v>
      </c>
      <c r="E1426">
        <v>4256</v>
      </c>
      <c r="F1426">
        <v>2395</v>
      </c>
      <c r="G1426" s="1">
        <v>0.56269999999999998</v>
      </c>
      <c r="H1426">
        <v>9</v>
      </c>
      <c r="I1426">
        <v>4246</v>
      </c>
    </row>
    <row r="1427" spans="1:9" x14ac:dyDescent="0.35">
      <c r="A1427" t="s">
        <v>9</v>
      </c>
      <c r="B1427" t="s">
        <v>1356</v>
      </c>
      <c r="C1427" t="s">
        <v>1412</v>
      </c>
      <c r="D1427" t="str">
        <f>"180804"</f>
        <v>180804</v>
      </c>
      <c r="E1427">
        <v>15168</v>
      </c>
      <c r="F1427">
        <v>8120</v>
      </c>
      <c r="G1427" s="1">
        <v>0.5353</v>
      </c>
      <c r="H1427">
        <v>15</v>
      </c>
      <c r="I1427">
        <v>15132</v>
      </c>
    </row>
    <row r="1428" spans="1:9" x14ac:dyDescent="0.35">
      <c r="A1428" t="s">
        <v>9</v>
      </c>
      <c r="B1428" t="s">
        <v>1356</v>
      </c>
      <c r="C1428" t="s">
        <v>1413</v>
      </c>
      <c r="D1428" t="str">
        <f>"180805"</f>
        <v>180805</v>
      </c>
      <c r="E1428">
        <v>16007</v>
      </c>
      <c r="F1428">
        <v>8650</v>
      </c>
      <c r="G1428" s="1">
        <v>0.54039999999999999</v>
      </c>
      <c r="H1428">
        <v>17</v>
      </c>
      <c r="I1428">
        <v>15956</v>
      </c>
    </row>
    <row r="1429" spans="1:9" x14ac:dyDescent="0.35">
      <c r="A1429" t="s">
        <v>9</v>
      </c>
      <c r="B1429" t="s">
        <v>1356</v>
      </c>
      <c r="C1429" t="s">
        <v>1414</v>
      </c>
      <c r="D1429" t="str">
        <f>"180901"</f>
        <v>180901</v>
      </c>
      <c r="E1429">
        <v>8864</v>
      </c>
      <c r="F1429">
        <v>4710</v>
      </c>
      <c r="G1429" s="1">
        <v>0.53139999999999998</v>
      </c>
      <c r="H1429">
        <v>6</v>
      </c>
      <c r="I1429">
        <v>8774</v>
      </c>
    </row>
    <row r="1430" spans="1:9" x14ac:dyDescent="0.35">
      <c r="A1430" t="s">
        <v>9</v>
      </c>
      <c r="B1430" t="s">
        <v>1356</v>
      </c>
      <c r="C1430" t="s">
        <v>1415</v>
      </c>
      <c r="D1430" t="str">
        <f>"180902"</f>
        <v>180902</v>
      </c>
      <c r="E1430">
        <v>5448</v>
      </c>
      <c r="F1430">
        <v>2806</v>
      </c>
      <c r="G1430" s="1">
        <v>0.5151</v>
      </c>
      <c r="H1430">
        <v>10</v>
      </c>
      <c r="I1430">
        <v>5401</v>
      </c>
    </row>
    <row r="1431" spans="1:9" x14ac:dyDescent="0.35">
      <c r="A1431" t="s">
        <v>9</v>
      </c>
      <c r="B1431" t="s">
        <v>1356</v>
      </c>
      <c r="C1431" t="s">
        <v>1416</v>
      </c>
      <c r="D1431" t="str">
        <f>"180903"</f>
        <v>180903</v>
      </c>
      <c r="E1431">
        <v>3866</v>
      </c>
      <c r="F1431">
        <v>2106</v>
      </c>
      <c r="G1431" s="1">
        <v>0.54469999999999996</v>
      </c>
      <c r="H1431">
        <v>7</v>
      </c>
      <c r="I1431">
        <v>3560</v>
      </c>
    </row>
    <row r="1432" spans="1:9" x14ac:dyDescent="0.35">
      <c r="A1432" t="s">
        <v>9</v>
      </c>
      <c r="B1432" t="s">
        <v>1356</v>
      </c>
      <c r="C1432" t="s">
        <v>1417</v>
      </c>
      <c r="D1432" t="str">
        <f>"180904"</f>
        <v>180904</v>
      </c>
      <c r="E1432">
        <v>7010</v>
      </c>
      <c r="F1432">
        <v>3947</v>
      </c>
      <c r="G1432" s="1">
        <v>0.56310000000000004</v>
      </c>
      <c r="H1432">
        <v>10</v>
      </c>
      <c r="I1432">
        <v>6977</v>
      </c>
    </row>
    <row r="1433" spans="1:9" x14ac:dyDescent="0.35">
      <c r="A1433" t="s">
        <v>9</v>
      </c>
      <c r="B1433" t="s">
        <v>1356</v>
      </c>
      <c r="C1433" t="s">
        <v>1418</v>
      </c>
      <c r="D1433" t="str">
        <f>"180905"</f>
        <v>180905</v>
      </c>
      <c r="E1433">
        <v>5942</v>
      </c>
      <c r="F1433">
        <v>3252</v>
      </c>
      <c r="G1433" s="1">
        <v>0.54730000000000001</v>
      </c>
      <c r="H1433">
        <v>8</v>
      </c>
      <c r="I1433">
        <v>5903</v>
      </c>
    </row>
    <row r="1434" spans="1:9" x14ac:dyDescent="0.35">
      <c r="A1434" t="s">
        <v>9</v>
      </c>
      <c r="B1434" t="s">
        <v>1356</v>
      </c>
      <c r="C1434" t="s">
        <v>1419</v>
      </c>
      <c r="D1434" t="str">
        <f>"180906"</f>
        <v>180906</v>
      </c>
      <c r="E1434">
        <v>4740</v>
      </c>
      <c r="F1434">
        <v>2559</v>
      </c>
      <c r="G1434" s="1">
        <v>0.53990000000000005</v>
      </c>
      <c r="H1434">
        <v>8</v>
      </c>
      <c r="I1434">
        <v>4718</v>
      </c>
    </row>
    <row r="1435" spans="1:9" x14ac:dyDescent="0.35">
      <c r="A1435" t="s">
        <v>9</v>
      </c>
      <c r="B1435" t="s">
        <v>1356</v>
      </c>
      <c r="C1435" t="s">
        <v>1420</v>
      </c>
      <c r="D1435" t="str">
        <f>"180907"</f>
        <v>180907</v>
      </c>
      <c r="E1435">
        <v>3236</v>
      </c>
      <c r="F1435">
        <v>1653</v>
      </c>
      <c r="G1435" s="1">
        <v>0.51080000000000003</v>
      </c>
      <c r="H1435">
        <v>6</v>
      </c>
      <c r="I1435">
        <v>3224</v>
      </c>
    </row>
    <row r="1436" spans="1:9" x14ac:dyDescent="0.35">
      <c r="A1436" t="s">
        <v>9</v>
      </c>
      <c r="B1436" t="s">
        <v>1356</v>
      </c>
      <c r="C1436" t="s">
        <v>1421</v>
      </c>
      <c r="D1436" t="str">
        <f>"180908"</f>
        <v>180908</v>
      </c>
      <c r="E1436">
        <v>2793</v>
      </c>
      <c r="F1436">
        <v>1608</v>
      </c>
      <c r="G1436" s="1">
        <v>0.57569999999999999</v>
      </c>
      <c r="H1436">
        <v>7</v>
      </c>
      <c r="I1436">
        <v>2782</v>
      </c>
    </row>
    <row r="1437" spans="1:9" x14ac:dyDescent="0.35">
      <c r="A1437" t="s">
        <v>9</v>
      </c>
      <c r="B1437" t="s">
        <v>1356</v>
      </c>
      <c r="C1437" t="s">
        <v>1422</v>
      </c>
      <c r="D1437" t="str">
        <f>"181001"</f>
        <v>181001</v>
      </c>
      <c r="E1437">
        <v>13484</v>
      </c>
      <c r="F1437">
        <v>7825</v>
      </c>
      <c r="G1437" s="1">
        <v>0.58030000000000004</v>
      </c>
      <c r="H1437">
        <v>12</v>
      </c>
      <c r="I1437">
        <v>13264</v>
      </c>
    </row>
    <row r="1438" spans="1:9" x14ac:dyDescent="0.35">
      <c r="A1438" t="s">
        <v>9</v>
      </c>
      <c r="B1438" t="s">
        <v>1356</v>
      </c>
      <c r="C1438" t="s">
        <v>971</v>
      </c>
      <c r="D1438" t="str">
        <f>"181002"</f>
        <v>181002</v>
      </c>
      <c r="E1438">
        <v>6600</v>
      </c>
      <c r="F1438">
        <v>3481</v>
      </c>
      <c r="G1438" s="1">
        <v>0.52739999999999998</v>
      </c>
      <c r="H1438">
        <v>5</v>
      </c>
      <c r="I1438">
        <v>6588</v>
      </c>
    </row>
    <row r="1439" spans="1:9" x14ac:dyDescent="0.35">
      <c r="A1439" t="s">
        <v>9</v>
      </c>
      <c r="B1439" t="s">
        <v>1356</v>
      </c>
      <c r="C1439" t="s">
        <v>1357</v>
      </c>
      <c r="D1439" t="str">
        <f>"181003"</f>
        <v>181003</v>
      </c>
      <c r="E1439">
        <v>9037</v>
      </c>
      <c r="F1439">
        <v>5128</v>
      </c>
      <c r="G1439" s="1">
        <v>0.56740000000000002</v>
      </c>
      <c r="H1439">
        <v>8</v>
      </c>
      <c r="I1439">
        <v>8996</v>
      </c>
    </row>
    <row r="1440" spans="1:9" x14ac:dyDescent="0.35">
      <c r="A1440" t="s">
        <v>9</v>
      </c>
      <c r="B1440" t="s">
        <v>1356</v>
      </c>
      <c r="C1440" t="s">
        <v>1423</v>
      </c>
      <c r="D1440" t="str">
        <f>"181004"</f>
        <v>181004</v>
      </c>
      <c r="E1440">
        <v>16555</v>
      </c>
      <c r="F1440">
        <v>9619</v>
      </c>
      <c r="G1440" s="1">
        <v>0.58099999999999996</v>
      </c>
      <c r="H1440">
        <v>13</v>
      </c>
      <c r="I1440">
        <v>16490</v>
      </c>
    </row>
    <row r="1441" spans="1:9" x14ac:dyDescent="0.35">
      <c r="A1441" t="s">
        <v>9</v>
      </c>
      <c r="B1441" t="s">
        <v>1356</v>
      </c>
      <c r="C1441" t="s">
        <v>1424</v>
      </c>
      <c r="D1441" t="str">
        <f>"181005"</f>
        <v>181005</v>
      </c>
      <c r="E1441">
        <v>5042</v>
      </c>
      <c r="F1441">
        <v>2659</v>
      </c>
      <c r="G1441" s="1">
        <v>0.52739999999999998</v>
      </c>
      <c r="H1441">
        <v>4</v>
      </c>
      <c r="I1441">
        <v>4945</v>
      </c>
    </row>
    <row r="1442" spans="1:9" x14ac:dyDescent="0.35">
      <c r="A1442" t="s">
        <v>9</v>
      </c>
      <c r="B1442" t="s">
        <v>1356</v>
      </c>
      <c r="C1442" t="s">
        <v>1425</v>
      </c>
      <c r="D1442" t="str">
        <f>"181006"</f>
        <v>181006</v>
      </c>
      <c r="E1442">
        <v>5663</v>
      </c>
      <c r="F1442">
        <v>3197</v>
      </c>
      <c r="G1442" s="1">
        <v>0.5645</v>
      </c>
      <c r="H1442">
        <v>7</v>
      </c>
      <c r="I1442">
        <v>5655</v>
      </c>
    </row>
    <row r="1443" spans="1:9" x14ac:dyDescent="0.35">
      <c r="A1443" t="s">
        <v>9</v>
      </c>
      <c r="B1443" t="s">
        <v>1356</v>
      </c>
      <c r="C1443" t="s">
        <v>1426</v>
      </c>
      <c r="D1443" t="str">
        <f>"181007"</f>
        <v>181007</v>
      </c>
      <c r="E1443">
        <v>5339</v>
      </c>
      <c r="F1443">
        <v>2875</v>
      </c>
      <c r="G1443" s="1">
        <v>0.53849999999999998</v>
      </c>
      <c r="H1443">
        <v>5</v>
      </c>
      <c r="I1443">
        <v>5333</v>
      </c>
    </row>
    <row r="1444" spans="1:9" x14ac:dyDescent="0.35">
      <c r="A1444" t="s">
        <v>9</v>
      </c>
      <c r="B1444" t="s">
        <v>1356</v>
      </c>
      <c r="C1444" t="s">
        <v>1427</v>
      </c>
      <c r="D1444" t="str">
        <f>"181101"</f>
        <v>181101</v>
      </c>
      <c r="E1444">
        <v>43386</v>
      </c>
      <c r="F1444">
        <v>23590</v>
      </c>
      <c r="G1444" s="1">
        <v>0.54369999999999996</v>
      </c>
      <c r="H1444">
        <v>30</v>
      </c>
      <c r="I1444">
        <v>43278</v>
      </c>
    </row>
    <row r="1445" spans="1:9" x14ac:dyDescent="0.35">
      <c r="A1445" t="s">
        <v>9</v>
      </c>
      <c r="B1445" t="s">
        <v>1356</v>
      </c>
      <c r="C1445" t="s">
        <v>1428</v>
      </c>
      <c r="D1445" t="str">
        <f>"181102"</f>
        <v>181102</v>
      </c>
      <c r="E1445">
        <v>4243</v>
      </c>
      <c r="F1445">
        <v>2292</v>
      </c>
      <c r="G1445" s="1">
        <v>0.54020000000000001</v>
      </c>
      <c r="H1445">
        <v>10</v>
      </c>
      <c r="I1445">
        <v>4238</v>
      </c>
    </row>
    <row r="1446" spans="1:9" x14ac:dyDescent="0.35">
      <c r="A1446" t="s">
        <v>9</v>
      </c>
      <c r="B1446" t="s">
        <v>1356</v>
      </c>
      <c r="C1446" t="s">
        <v>1429</v>
      </c>
      <c r="D1446" t="str">
        <f>"181103"</f>
        <v>181103</v>
      </c>
      <c r="E1446">
        <v>5389</v>
      </c>
      <c r="F1446">
        <v>3078</v>
      </c>
      <c r="G1446" s="1">
        <v>0.57120000000000004</v>
      </c>
      <c r="H1446">
        <v>9</v>
      </c>
      <c r="I1446">
        <v>5380</v>
      </c>
    </row>
    <row r="1447" spans="1:9" x14ac:dyDescent="0.35">
      <c r="A1447" t="s">
        <v>9</v>
      </c>
      <c r="B1447" t="s">
        <v>1356</v>
      </c>
      <c r="C1447" t="s">
        <v>1430</v>
      </c>
      <c r="D1447" t="str">
        <f>"181104"</f>
        <v>181104</v>
      </c>
      <c r="E1447">
        <v>2116</v>
      </c>
      <c r="F1447">
        <v>1176</v>
      </c>
      <c r="G1447" s="1">
        <v>0.55579999999999996</v>
      </c>
      <c r="H1447">
        <v>7</v>
      </c>
      <c r="I1447">
        <v>2108</v>
      </c>
    </row>
    <row r="1448" spans="1:9" x14ac:dyDescent="0.35">
      <c r="A1448" t="s">
        <v>9</v>
      </c>
      <c r="B1448" t="s">
        <v>1356</v>
      </c>
      <c r="C1448" t="s">
        <v>1431</v>
      </c>
      <c r="D1448" t="str">
        <f>"181105"</f>
        <v>181105</v>
      </c>
      <c r="E1448">
        <v>10342</v>
      </c>
      <c r="F1448">
        <v>5934</v>
      </c>
      <c r="G1448" s="1">
        <v>0.57379999999999998</v>
      </c>
      <c r="H1448">
        <v>9</v>
      </c>
      <c r="I1448">
        <v>10318</v>
      </c>
    </row>
    <row r="1449" spans="1:9" x14ac:dyDescent="0.35">
      <c r="A1449" t="s">
        <v>9</v>
      </c>
      <c r="B1449" t="s">
        <v>1356</v>
      </c>
      <c r="C1449" t="s">
        <v>1432</v>
      </c>
      <c r="D1449" t="str">
        <f>"181106"</f>
        <v>181106</v>
      </c>
      <c r="E1449">
        <v>4053</v>
      </c>
      <c r="F1449">
        <v>2230</v>
      </c>
      <c r="G1449" s="1">
        <v>0.55020000000000002</v>
      </c>
      <c r="H1449">
        <v>11</v>
      </c>
      <c r="I1449">
        <v>4045</v>
      </c>
    </row>
    <row r="1450" spans="1:9" x14ac:dyDescent="0.35">
      <c r="A1450" t="s">
        <v>9</v>
      </c>
      <c r="B1450" t="s">
        <v>1356</v>
      </c>
      <c r="C1450" t="s">
        <v>1433</v>
      </c>
      <c r="D1450" t="str">
        <f>"181107"</f>
        <v>181107</v>
      </c>
      <c r="E1450">
        <v>8966</v>
      </c>
      <c r="F1450">
        <v>5094</v>
      </c>
      <c r="G1450" s="1">
        <v>0.56810000000000005</v>
      </c>
      <c r="H1450">
        <v>11</v>
      </c>
      <c r="I1450">
        <v>8946</v>
      </c>
    </row>
    <row r="1451" spans="1:9" x14ac:dyDescent="0.35">
      <c r="A1451" t="s">
        <v>9</v>
      </c>
      <c r="B1451" t="s">
        <v>1356</v>
      </c>
      <c r="C1451" t="s">
        <v>1434</v>
      </c>
      <c r="D1451" t="str">
        <f>"181108"</f>
        <v>181108</v>
      </c>
      <c r="E1451">
        <v>10829</v>
      </c>
      <c r="F1451">
        <v>5778</v>
      </c>
      <c r="G1451" s="1">
        <v>0.53359999999999996</v>
      </c>
      <c r="H1451">
        <v>14</v>
      </c>
      <c r="I1451">
        <v>10791</v>
      </c>
    </row>
    <row r="1452" spans="1:9" x14ac:dyDescent="0.35">
      <c r="A1452" t="s">
        <v>9</v>
      </c>
      <c r="B1452" t="s">
        <v>1356</v>
      </c>
      <c r="C1452" t="s">
        <v>1435</v>
      </c>
      <c r="D1452" t="str">
        <f>"181109"</f>
        <v>181109</v>
      </c>
      <c r="E1452">
        <v>6304</v>
      </c>
      <c r="F1452">
        <v>3716</v>
      </c>
      <c r="G1452" s="1">
        <v>0.58950000000000002</v>
      </c>
      <c r="H1452">
        <v>8</v>
      </c>
      <c r="I1452">
        <v>6290</v>
      </c>
    </row>
    <row r="1453" spans="1:9" x14ac:dyDescent="0.35">
      <c r="A1453" t="s">
        <v>9</v>
      </c>
      <c r="B1453" t="s">
        <v>1356</v>
      </c>
      <c r="C1453" t="s">
        <v>1436</v>
      </c>
      <c r="D1453" t="str">
        <f>"181110"</f>
        <v>181110</v>
      </c>
      <c r="E1453">
        <v>5847</v>
      </c>
      <c r="F1453">
        <v>3228</v>
      </c>
      <c r="G1453" s="1">
        <v>0.55210000000000004</v>
      </c>
      <c r="H1453">
        <v>11</v>
      </c>
      <c r="I1453">
        <v>5831</v>
      </c>
    </row>
    <row r="1454" spans="1:9" x14ac:dyDescent="0.35">
      <c r="A1454" t="s">
        <v>9</v>
      </c>
      <c r="B1454" t="s">
        <v>1356</v>
      </c>
      <c r="C1454" t="s">
        <v>1437</v>
      </c>
      <c r="D1454" t="str">
        <f>"181201"</f>
        <v>181201</v>
      </c>
      <c r="E1454">
        <v>4653</v>
      </c>
      <c r="F1454">
        <v>2458</v>
      </c>
      <c r="G1454" s="1">
        <v>0.52829999999999999</v>
      </c>
      <c r="H1454">
        <v>14</v>
      </c>
      <c r="I1454">
        <v>4631</v>
      </c>
    </row>
    <row r="1455" spans="1:9" x14ac:dyDescent="0.35">
      <c r="A1455" t="s">
        <v>9</v>
      </c>
      <c r="B1455" t="s">
        <v>1356</v>
      </c>
      <c r="C1455" t="s">
        <v>1438</v>
      </c>
      <c r="D1455" t="str">
        <f>"181202"</f>
        <v>181202</v>
      </c>
      <c r="E1455">
        <v>4148</v>
      </c>
      <c r="F1455">
        <v>2077</v>
      </c>
      <c r="G1455" s="1">
        <v>0.50070000000000003</v>
      </c>
      <c r="H1455">
        <v>9</v>
      </c>
      <c r="I1455">
        <v>4137</v>
      </c>
    </row>
    <row r="1456" spans="1:9" x14ac:dyDescent="0.35">
      <c r="A1456" t="s">
        <v>9</v>
      </c>
      <c r="B1456" t="s">
        <v>1356</v>
      </c>
      <c r="C1456" t="s">
        <v>1439</v>
      </c>
      <c r="D1456" t="str">
        <f>"181203"</f>
        <v>181203</v>
      </c>
      <c r="E1456">
        <v>7573</v>
      </c>
      <c r="F1456">
        <v>4352</v>
      </c>
      <c r="G1456" s="1">
        <v>0.57469999999999999</v>
      </c>
      <c r="H1456">
        <v>12</v>
      </c>
      <c r="I1456">
        <v>7549</v>
      </c>
    </row>
    <row r="1457" spans="1:9" x14ac:dyDescent="0.35">
      <c r="A1457" t="s">
        <v>9</v>
      </c>
      <c r="B1457" t="s">
        <v>1356</v>
      </c>
      <c r="C1457" t="s">
        <v>1440</v>
      </c>
      <c r="D1457" t="str">
        <f>"181204"</f>
        <v>181204</v>
      </c>
      <c r="E1457">
        <v>3288</v>
      </c>
      <c r="F1457">
        <v>1560</v>
      </c>
      <c r="G1457" s="1">
        <v>0.47449999999999998</v>
      </c>
      <c r="H1457">
        <v>8</v>
      </c>
      <c r="I1457">
        <v>3275</v>
      </c>
    </row>
    <row r="1458" spans="1:9" x14ac:dyDescent="0.35">
      <c r="A1458" t="s">
        <v>9</v>
      </c>
      <c r="B1458" t="s">
        <v>1356</v>
      </c>
      <c r="C1458" t="s">
        <v>1441</v>
      </c>
      <c r="D1458" t="str">
        <f>"181205"</f>
        <v>181205</v>
      </c>
      <c r="E1458">
        <v>16430</v>
      </c>
      <c r="F1458">
        <v>8462</v>
      </c>
      <c r="G1458" s="1">
        <v>0.51500000000000001</v>
      </c>
      <c r="H1458">
        <v>17</v>
      </c>
      <c r="I1458">
        <v>16361</v>
      </c>
    </row>
    <row r="1459" spans="1:9" x14ac:dyDescent="0.35">
      <c r="A1459" t="s">
        <v>9</v>
      </c>
      <c r="B1459" t="s">
        <v>1356</v>
      </c>
      <c r="C1459" t="s">
        <v>1442</v>
      </c>
      <c r="D1459" t="str">
        <f>"181206"</f>
        <v>181206</v>
      </c>
      <c r="E1459">
        <v>7597</v>
      </c>
      <c r="F1459">
        <v>3749</v>
      </c>
      <c r="G1459" s="1">
        <v>0.49349999999999999</v>
      </c>
      <c r="H1459">
        <v>8</v>
      </c>
      <c r="I1459">
        <v>7551</v>
      </c>
    </row>
    <row r="1460" spans="1:9" x14ac:dyDescent="0.35">
      <c r="A1460" t="s">
        <v>9</v>
      </c>
      <c r="B1460" t="s">
        <v>1356</v>
      </c>
      <c r="C1460" t="s">
        <v>1443</v>
      </c>
      <c r="D1460" t="str">
        <f>"181207"</f>
        <v>181207</v>
      </c>
      <c r="E1460">
        <v>6386</v>
      </c>
      <c r="F1460">
        <v>3270</v>
      </c>
      <c r="G1460" s="1">
        <v>0.5121</v>
      </c>
      <c r="H1460">
        <v>13</v>
      </c>
      <c r="I1460">
        <v>6367</v>
      </c>
    </row>
    <row r="1461" spans="1:9" x14ac:dyDescent="0.35">
      <c r="A1461" t="s">
        <v>9</v>
      </c>
      <c r="B1461" t="s">
        <v>1356</v>
      </c>
      <c r="C1461" t="s">
        <v>1444</v>
      </c>
      <c r="D1461" t="str">
        <f>"181301"</f>
        <v>181301</v>
      </c>
      <c r="E1461">
        <v>4925</v>
      </c>
      <c r="F1461">
        <v>2551</v>
      </c>
      <c r="G1461" s="1">
        <v>0.51800000000000002</v>
      </c>
      <c r="H1461">
        <v>12</v>
      </c>
      <c r="I1461">
        <v>4925</v>
      </c>
    </row>
    <row r="1462" spans="1:9" x14ac:dyDescent="0.35">
      <c r="A1462" t="s">
        <v>9</v>
      </c>
      <c r="B1462" t="s">
        <v>1356</v>
      </c>
      <c r="C1462" t="s">
        <v>1445</v>
      </c>
      <c r="D1462" t="str">
        <f>"181302"</f>
        <v>181302</v>
      </c>
      <c r="E1462">
        <v>7034</v>
      </c>
      <c r="F1462">
        <v>3462</v>
      </c>
      <c r="G1462" s="1">
        <v>0.49220000000000003</v>
      </c>
      <c r="H1462">
        <v>12</v>
      </c>
      <c r="I1462">
        <v>6990</v>
      </c>
    </row>
    <row r="1463" spans="1:9" x14ac:dyDescent="0.35">
      <c r="A1463" t="s">
        <v>9</v>
      </c>
      <c r="B1463" t="s">
        <v>1356</v>
      </c>
      <c r="C1463" t="s">
        <v>1446</v>
      </c>
      <c r="D1463" t="str">
        <f>"181303"</f>
        <v>181303</v>
      </c>
      <c r="E1463">
        <v>4164</v>
      </c>
      <c r="F1463">
        <v>2091</v>
      </c>
      <c r="G1463" s="1">
        <v>0.50219999999999998</v>
      </c>
      <c r="H1463">
        <v>12</v>
      </c>
      <c r="I1463">
        <v>4102</v>
      </c>
    </row>
    <row r="1464" spans="1:9" x14ac:dyDescent="0.35">
      <c r="A1464" t="s">
        <v>9</v>
      </c>
      <c r="B1464" t="s">
        <v>1356</v>
      </c>
      <c r="C1464" t="s">
        <v>1447</v>
      </c>
      <c r="D1464" t="str">
        <f>"181304"</f>
        <v>181304</v>
      </c>
      <c r="E1464">
        <v>3941</v>
      </c>
      <c r="F1464">
        <v>2114</v>
      </c>
      <c r="G1464" s="1">
        <v>0.53639999999999999</v>
      </c>
      <c r="H1464">
        <v>6</v>
      </c>
      <c r="I1464">
        <v>3855</v>
      </c>
    </row>
    <row r="1465" spans="1:9" x14ac:dyDescent="0.35">
      <c r="A1465" t="s">
        <v>9</v>
      </c>
      <c r="B1465" t="s">
        <v>1356</v>
      </c>
      <c r="C1465" t="s">
        <v>1448</v>
      </c>
      <c r="D1465" t="str">
        <f>"181305"</f>
        <v>181305</v>
      </c>
      <c r="E1465">
        <v>3619</v>
      </c>
      <c r="F1465">
        <v>1830</v>
      </c>
      <c r="G1465" s="1">
        <v>0.50570000000000004</v>
      </c>
      <c r="H1465">
        <v>9</v>
      </c>
      <c r="I1465">
        <v>3601</v>
      </c>
    </row>
    <row r="1466" spans="1:9" x14ac:dyDescent="0.35">
      <c r="A1466" t="s">
        <v>9</v>
      </c>
      <c r="B1466" t="s">
        <v>1356</v>
      </c>
      <c r="C1466" t="s">
        <v>1449</v>
      </c>
      <c r="D1466" t="str">
        <f>"181306"</f>
        <v>181306</v>
      </c>
      <c r="E1466">
        <v>4814</v>
      </c>
      <c r="F1466">
        <v>2517</v>
      </c>
      <c r="G1466" s="1">
        <v>0.52290000000000003</v>
      </c>
      <c r="H1466">
        <v>8</v>
      </c>
      <c r="I1466">
        <v>4793</v>
      </c>
    </row>
    <row r="1467" spans="1:9" x14ac:dyDescent="0.35">
      <c r="A1467" t="s">
        <v>9</v>
      </c>
      <c r="B1467" t="s">
        <v>1356</v>
      </c>
      <c r="C1467" t="s">
        <v>1450</v>
      </c>
      <c r="D1467" t="str">
        <f>"181307"</f>
        <v>181307</v>
      </c>
      <c r="E1467">
        <v>6629</v>
      </c>
      <c r="F1467">
        <v>3642</v>
      </c>
      <c r="G1467" s="1">
        <v>0.5494</v>
      </c>
      <c r="H1467">
        <v>13</v>
      </c>
      <c r="I1467">
        <v>6593</v>
      </c>
    </row>
    <row r="1468" spans="1:9" x14ac:dyDescent="0.35">
      <c r="A1468" t="s">
        <v>9</v>
      </c>
      <c r="B1468" t="s">
        <v>1356</v>
      </c>
      <c r="C1468" t="s">
        <v>1451</v>
      </c>
      <c r="D1468" t="str">
        <f>"181308"</f>
        <v>181308</v>
      </c>
      <c r="E1468">
        <v>7846</v>
      </c>
      <c r="F1468">
        <v>4343</v>
      </c>
      <c r="G1468" s="1">
        <v>0.55349999999999999</v>
      </c>
      <c r="H1468">
        <v>14</v>
      </c>
      <c r="I1468">
        <v>7822</v>
      </c>
    </row>
    <row r="1469" spans="1:9" x14ac:dyDescent="0.35">
      <c r="A1469" t="s">
        <v>9</v>
      </c>
      <c r="B1469" t="s">
        <v>1356</v>
      </c>
      <c r="C1469" t="s">
        <v>1452</v>
      </c>
      <c r="D1469" t="str">
        <f>"181309"</f>
        <v>181309</v>
      </c>
      <c r="E1469">
        <v>2946</v>
      </c>
      <c r="F1469">
        <v>1446</v>
      </c>
      <c r="G1469" s="1">
        <v>0.49080000000000001</v>
      </c>
      <c r="H1469">
        <v>6</v>
      </c>
      <c r="I1469">
        <v>2924</v>
      </c>
    </row>
    <row r="1470" spans="1:9" x14ac:dyDescent="0.35">
      <c r="A1470" t="s">
        <v>9</v>
      </c>
      <c r="B1470" t="s">
        <v>1356</v>
      </c>
      <c r="C1470" t="s">
        <v>1453</v>
      </c>
      <c r="D1470" t="str">
        <f>"181310"</f>
        <v>181310</v>
      </c>
      <c r="E1470">
        <v>9634</v>
      </c>
      <c r="F1470">
        <v>5281</v>
      </c>
      <c r="G1470" s="1">
        <v>0.54820000000000002</v>
      </c>
      <c r="H1470">
        <v>11</v>
      </c>
      <c r="I1470">
        <v>9601</v>
      </c>
    </row>
    <row r="1471" spans="1:9" x14ac:dyDescent="0.35">
      <c r="A1471" t="s">
        <v>9</v>
      </c>
      <c r="B1471" t="s">
        <v>1356</v>
      </c>
      <c r="C1471" t="s">
        <v>1454</v>
      </c>
      <c r="D1471" t="str">
        <f>"181401"</f>
        <v>181401</v>
      </c>
      <c r="E1471">
        <v>11464</v>
      </c>
      <c r="F1471">
        <v>6373</v>
      </c>
      <c r="G1471" s="1">
        <v>0.55589999999999995</v>
      </c>
      <c r="H1471">
        <v>13</v>
      </c>
      <c r="I1471">
        <v>11385</v>
      </c>
    </row>
    <row r="1472" spans="1:9" x14ac:dyDescent="0.35">
      <c r="A1472" t="s">
        <v>9</v>
      </c>
      <c r="B1472" t="s">
        <v>1356</v>
      </c>
      <c r="C1472" t="s">
        <v>1455</v>
      </c>
      <c r="D1472" t="str">
        <f>"181402"</f>
        <v>181402</v>
      </c>
      <c r="E1472">
        <v>3143</v>
      </c>
      <c r="F1472">
        <v>1667</v>
      </c>
      <c r="G1472" s="1">
        <v>0.53039999999999998</v>
      </c>
      <c r="H1472">
        <v>5</v>
      </c>
      <c r="I1472">
        <v>3127</v>
      </c>
    </row>
    <row r="1473" spans="1:9" x14ac:dyDescent="0.35">
      <c r="A1473" t="s">
        <v>9</v>
      </c>
      <c r="B1473" t="s">
        <v>1356</v>
      </c>
      <c r="C1473" t="s">
        <v>1456</v>
      </c>
      <c r="D1473" t="str">
        <f>"181403"</f>
        <v>181403</v>
      </c>
      <c r="E1473">
        <v>3506</v>
      </c>
      <c r="F1473">
        <v>1932</v>
      </c>
      <c r="G1473" s="1">
        <v>0.55110000000000003</v>
      </c>
      <c r="H1473">
        <v>6</v>
      </c>
      <c r="I1473">
        <v>3504</v>
      </c>
    </row>
    <row r="1474" spans="1:9" x14ac:dyDescent="0.35">
      <c r="A1474" t="s">
        <v>9</v>
      </c>
      <c r="B1474" t="s">
        <v>1356</v>
      </c>
      <c r="C1474" t="s">
        <v>1457</v>
      </c>
      <c r="D1474" t="str">
        <f>"181404"</f>
        <v>181404</v>
      </c>
      <c r="E1474">
        <v>3485</v>
      </c>
      <c r="F1474">
        <v>1896</v>
      </c>
      <c r="G1474" s="1">
        <v>0.54400000000000004</v>
      </c>
      <c r="H1474">
        <v>7</v>
      </c>
      <c r="I1474">
        <v>3446</v>
      </c>
    </row>
    <row r="1475" spans="1:9" x14ac:dyDescent="0.35">
      <c r="A1475" t="s">
        <v>9</v>
      </c>
      <c r="B1475" t="s">
        <v>1356</v>
      </c>
      <c r="C1475" t="s">
        <v>1458</v>
      </c>
      <c r="D1475" t="str">
        <f>"181405"</f>
        <v>181405</v>
      </c>
      <c r="E1475">
        <v>9482</v>
      </c>
      <c r="F1475">
        <v>4873</v>
      </c>
      <c r="G1475" s="1">
        <v>0.51390000000000002</v>
      </c>
      <c r="H1475">
        <v>12</v>
      </c>
      <c r="I1475">
        <v>9458</v>
      </c>
    </row>
    <row r="1476" spans="1:9" x14ac:dyDescent="0.35">
      <c r="A1476" t="s">
        <v>9</v>
      </c>
      <c r="B1476" t="s">
        <v>1356</v>
      </c>
      <c r="C1476" t="s">
        <v>1459</v>
      </c>
      <c r="D1476" t="str">
        <f>"181406"</f>
        <v>181406</v>
      </c>
      <c r="E1476">
        <v>11376</v>
      </c>
      <c r="F1476">
        <v>6411</v>
      </c>
      <c r="G1476" s="1">
        <v>0.56359999999999999</v>
      </c>
      <c r="H1476">
        <v>11</v>
      </c>
      <c r="I1476">
        <v>11376</v>
      </c>
    </row>
    <row r="1477" spans="1:9" x14ac:dyDescent="0.35">
      <c r="A1477" t="s">
        <v>9</v>
      </c>
      <c r="B1477" t="s">
        <v>1356</v>
      </c>
      <c r="C1477" t="s">
        <v>1460</v>
      </c>
      <c r="D1477" t="str">
        <f>"181407"</f>
        <v>181407</v>
      </c>
      <c r="E1477">
        <v>5379</v>
      </c>
      <c r="F1477">
        <v>2941</v>
      </c>
      <c r="G1477" s="1">
        <v>0.54679999999999995</v>
      </c>
      <c r="H1477">
        <v>9</v>
      </c>
      <c r="I1477">
        <v>5347</v>
      </c>
    </row>
    <row r="1478" spans="1:9" x14ac:dyDescent="0.35">
      <c r="A1478" t="s">
        <v>9</v>
      </c>
      <c r="B1478" t="s">
        <v>1356</v>
      </c>
      <c r="C1478" t="s">
        <v>1461</v>
      </c>
      <c r="D1478" t="str">
        <f>"181408"</f>
        <v>181408</v>
      </c>
      <c r="E1478">
        <v>6447</v>
      </c>
      <c r="F1478">
        <v>3651</v>
      </c>
      <c r="G1478" s="1">
        <v>0.56630000000000003</v>
      </c>
      <c r="H1478">
        <v>9</v>
      </c>
      <c r="I1478">
        <v>6436</v>
      </c>
    </row>
    <row r="1479" spans="1:9" x14ac:dyDescent="0.35">
      <c r="A1479" t="s">
        <v>9</v>
      </c>
      <c r="B1479" t="s">
        <v>1356</v>
      </c>
      <c r="C1479" t="s">
        <v>1462</v>
      </c>
      <c r="D1479" t="str">
        <f>"181409"</f>
        <v>181409</v>
      </c>
      <c r="E1479">
        <v>5522</v>
      </c>
      <c r="F1479">
        <v>3139</v>
      </c>
      <c r="G1479" s="1">
        <v>0.56850000000000001</v>
      </c>
      <c r="H1479">
        <v>9</v>
      </c>
      <c r="I1479">
        <v>5512</v>
      </c>
    </row>
    <row r="1480" spans="1:9" x14ac:dyDescent="0.35">
      <c r="A1480" t="s">
        <v>9</v>
      </c>
      <c r="B1480" t="s">
        <v>1356</v>
      </c>
      <c r="C1480" t="s">
        <v>1463</v>
      </c>
      <c r="D1480" t="str">
        <f>"181501"</f>
        <v>181501</v>
      </c>
      <c r="E1480">
        <v>5920</v>
      </c>
      <c r="F1480">
        <v>3511</v>
      </c>
      <c r="G1480" s="1">
        <v>0.59309999999999996</v>
      </c>
      <c r="H1480">
        <v>9</v>
      </c>
      <c r="I1480">
        <v>5903</v>
      </c>
    </row>
    <row r="1481" spans="1:9" x14ac:dyDescent="0.35">
      <c r="A1481" t="s">
        <v>9</v>
      </c>
      <c r="B1481" t="s">
        <v>1356</v>
      </c>
      <c r="C1481" t="s">
        <v>1464</v>
      </c>
      <c r="D1481" t="str">
        <f>"181502"</f>
        <v>181502</v>
      </c>
      <c r="E1481">
        <v>5642</v>
      </c>
      <c r="F1481">
        <v>3211</v>
      </c>
      <c r="G1481" s="1">
        <v>0.56910000000000005</v>
      </c>
      <c r="H1481">
        <v>9</v>
      </c>
      <c r="I1481">
        <v>5631</v>
      </c>
    </row>
    <row r="1482" spans="1:9" x14ac:dyDescent="0.35">
      <c r="A1482" t="s">
        <v>9</v>
      </c>
      <c r="B1482" t="s">
        <v>1356</v>
      </c>
      <c r="C1482" t="s">
        <v>1465</v>
      </c>
      <c r="D1482" t="str">
        <f>"181503"</f>
        <v>181503</v>
      </c>
      <c r="E1482">
        <v>20740</v>
      </c>
      <c r="F1482">
        <v>11599</v>
      </c>
      <c r="G1482" s="1">
        <v>0.55930000000000002</v>
      </c>
      <c r="H1482">
        <v>23</v>
      </c>
      <c r="I1482">
        <v>20632</v>
      </c>
    </row>
    <row r="1483" spans="1:9" x14ac:dyDescent="0.35">
      <c r="A1483" t="s">
        <v>9</v>
      </c>
      <c r="B1483" t="s">
        <v>1356</v>
      </c>
      <c r="C1483" t="s">
        <v>1466</v>
      </c>
      <c r="D1483" t="str">
        <f>"181504"</f>
        <v>181504</v>
      </c>
      <c r="E1483">
        <v>18068</v>
      </c>
      <c r="F1483">
        <v>10703</v>
      </c>
      <c r="G1483" s="1">
        <v>0.59240000000000004</v>
      </c>
      <c r="H1483">
        <v>21</v>
      </c>
      <c r="I1483">
        <v>18001</v>
      </c>
    </row>
    <row r="1484" spans="1:9" x14ac:dyDescent="0.35">
      <c r="A1484" t="s">
        <v>9</v>
      </c>
      <c r="B1484" t="s">
        <v>1356</v>
      </c>
      <c r="C1484" t="s">
        <v>1467</v>
      </c>
      <c r="D1484" t="str">
        <f>"181505"</f>
        <v>181505</v>
      </c>
      <c r="E1484">
        <v>6129</v>
      </c>
      <c r="F1484">
        <v>3593</v>
      </c>
      <c r="G1484" s="1">
        <v>0.58620000000000005</v>
      </c>
      <c r="H1484">
        <v>5</v>
      </c>
      <c r="I1484">
        <v>6121</v>
      </c>
    </row>
    <row r="1485" spans="1:9" x14ac:dyDescent="0.35">
      <c r="A1485" t="s">
        <v>9</v>
      </c>
      <c r="B1485" t="s">
        <v>1356</v>
      </c>
      <c r="C1485" t="s">
        <v>1468</v>
      </c>
      <c r="D1485" t="str">
        <f>"181601"</f>
        <v>181601</v>
      </c>
      <c r="E1485">
        <v>4602</v>
      </c>
      <c r="F1485">
        <v>2547</v>
      </c>
      <c r="G1485" s="1">
        <v>0.55349999999999999</v>
      </c>
      <c r="H1485">
        <v>4</v>
      </c>
      <c r="I1485">
        <v>4574</v>
      </c>
    </row>
    <row r="1486" spans="1:9" x14ac:dyDescent="0.35">
      <c r="A1486" t="s">
        <v>9</v>
      </c>
      <c r="B1486" t="s">
        <v>1356</v>
      </c>
      <c r="C1486" t="s">
        <v>1469</v>
      </c>
      <c r="D1486" t="str">
        <f>"181602"</f>
        <v>181602</v>
      </c>
      <c r="E1486">
        <v>8398</v>
      </c>
      <c r="F1486">
        <v>4961</v>
      </c>
      <c r="G1486" s="1">
        <v>0.5907</v>
      </c>
      <c r="H1486">
        <v>9</v>
      </c>
      <c r="I1486">
        <v>8365</v>
      </c>
    </row>
    <row r="1487" spans="1:9" x14ac:dyDescent="0.35">
      <c r="A1487" t="s">
        <v>9</v>
      </c>
      <c r="B1487" t="s">
        <v>1356</v>
      </c>
      <c r="C1487" t="s">
        <v>1470</v>
      </c>
      <c r="D1487" t="str">
        <f>"181603"</f>
        <v>181603</v>
      </c>
      <c r="E1487">
        <v>16007</v>
      </c>
      <c r="F1487">
        <v>9505</v>
      </c>
      <c r="G1487" s="1">
        <v>0.59379999999999999</v>
      </c>
      <c r="H1487">
        <v>12</v>
      </c>
      <c r="I1487">
        <v>15935</v>
      </c>
    </row>
    <row r="1488" spans="1:9" x14ac:dyDescent="0.35">
      <c r="A1488" t="s">
        <v>9</v>
      </c>
      <c r="B1488" t="s">
        <v>1356</v>
      </c>
      <c r="C1488" t="s">
        <v>1471</v>
      </c>
      <c r="D1488" t="str">
        <f>"181604"</f>
        <v>181604</v>
      </c>
      <c r="E1488">
        <v>5340</v>
      </c>
      <c r="F1488">
        <v>3168</v>
      </c>
      <c r="G1488" s="1">
        <v>0.59330000000000005</v>
      </c>
      <c r="H1488">
        <v>6</v>
      </c>
      <c r="I1488">
        <v>5323</v>
      </c>
    </row>
    <row r="1489" spans="1:9" x14ac:dyDescent="0.35">
      <c r="A1489" t="s">
        <v>9</v>
      </c>
      <c r="B1489" t="s">
        <v>1356</v>
      </c>
      <c r="C1489" t="s">
        <v>1472</v>
      </c>
      <c r="D1489" t="str">
        <f>"181605"</f>
        <v>181605</v>
      </c>
      <c r="E1489">
        <v>5278</v>
      </c>
      <c r="F1489">
        <v>2817</v>
      </c>
      <c r="G1489" s="1">
        <v>0.53369999999999995</v>
      </c>
      <c r="H1489">
        <v>10</v>
      </c>
      <c r="I1489">
        <v>5253</v>
      </c>
    </row>
    <row r="1490" spans="1:9" x14ac:dyDescent="0.35">
      <c r="A1490" t="s">
        <v>9</v>
      </c>
      <c r="B1490" t="s">
        <v>1356</v>
      </c>
      <c r="C1490" t="s">
        <v>1473</v>
      </c>
      <c r="D1490" t="str">
        <f>"181606"</f>
        <v>181606</v>
      </c>
      <c r="E1490">
        <v>14412</v>
      </c>
      <c r="F1490">
        <v>8480</v>
      </c>
      <c r="G1490" s="1">
        <v>0.58840000000000003</v>
      </c>
      <c r="H1490">
        <v>14</v>
      </c>
      <c r="I1490">
        <v>14287</v>
      </c>
    </row>
    <row r="1491" spans="1:9" x14ac:dyDescent="0.35">
      <c r="A1491" t="s">
        <v>9</v>
      </c>
      <c r="B1491" t="s">
        <v>1356</v>
      </c>
      <c r="C1491" t="s">
        <v>1474</v>
      </c>
      <c r="D1491" t="str">
        <f>"181607"</f>
        <v>181607</v>
      </c>
      <c r="E1491">
        <v>5360</v>
      </c>
      <c r="F1491">
        <v>3189</v>
      </c>
      <c r="G1491" s="1">
        <v>0.59499999999999997</v>
      </c>
      <c r="H1491">
        <v>8</v>
      </c>
      <c r="I1491">
        <v>5342</v>
      </c>
    </row>
    <row r="1492" spans="1:9" x14ac:dyDescent="0.35">
      <c r="A1492" t="s">
        <v>9</v>
      </c>
      <c r="B1492" t="s">
        <v>1356</v>
      </c>
      <c r="C1492" t="s">
        <v>363</v>
      </c>
      <c r="D1492" t="str">
        <f>"181608"</f>
        <v>181608</v>
      </c>
      <c r="E1492">
        <v>5333</v>
      </c>
      <c r="F1492">
        <v>3086</v>
      </c>
      <c r="G1492" s="1">
        <v>0.57869999999999999</v>
      </c>
      <c r="H1492">
        <v>6</v>
      </c>
      <c r="I1492">
        <v>5322</v>
      </c>
    </row>
    <row r="1493" spans="1:9" x14ac:dyDescent="0.35">
      <c r="A1493" t="s">
        <v>9</v>
      </c>
      <c r="B1493" t="s">
        <v>1356</v>
      </c>
      <c r="C1493" t="s">
        <v>1150</v>
      </c>
      <c r="D1493" t="str">
        <f>"181609"</f>
        <v>181609</v>
      </c>
      <c r="E1493">
        <v>9301</v>
      </c>
      <c r="F1493">
        <v>5558</v>
      </c>
      <c r="G1493" s="1">
        <v>0.59760000000000002</v>
      </c>
      <c r="H1493">
        <v>6</v>
      </c>
      <c r="I1493">
        <v>9259</v>
      </c>
    </row>
    <row r="1494" spans="1:9" x14ac:dyDescent="0.35">
      <c r="A1494" t="s">
        <v>9</v>
      </c>
      <c r="B1494" t="s">
        <v>1356</v>
      </c>
      <c r="C1494" t="s">
        <v>1475</v>
      </c>
      <c r="D1494" t="str">
        <f>"181610"</f>
        <v>181610</v>
      </c>
      <c r="E1494">
        <v>5018</v>
      </c>
      <c r="F1494">
        <v>2999</v>
      </c>
      <c r="G1494" s="1">
        <v>0.59760000000000002</v>
      </c>
      <c r="H1494">
        <v>4</v>
      </c>
      <c r="I1494">
        <v>5005</v>
      </c>
    </row>
    <row r="1495" spans="1:9" x14ac:dyDescent="0.35">
      <c r="A1495" t="s">
        <v>9</v>
      </c>
      <c r="B1495" t="s">
        <v>1356</v>
      </c>
      <c r="C1495" t="s">
        <v>1476</v>
      </c>
      <c r="D1495" t="str">
        <f>"181611"</f>
        <v>181611</v>
      </c>
      <c r="E1495">
        <v>12968</v>
      </c>
      <c r="F1495">
        <v>7335</v>
      </c>
      <c r="G1495" s="1">
        <v>0.56559999999999999</v>
      </c>
      <c r="H1495">
        <v>13</v>
      </c>
      <c r="I1495">
        <v>12944</v>
      </c>
    </row>
    <row r="1496" spans="1:9" x14ac:dyDescent="0.35">
      <c r="A1496" t="s">
        <v>9</v>
      </c>
      <c r="B1496" t="s">
        <v>1356</v>
      </c>
      <c r="C1496" t="s">
        <v>1477</v>
      </c>
      <c r="D1496" t="str">
        <f>"181612"</f>
        <v>181612</v>
      </c>
      <c r="E1496">
        <v>12447</v>
      </c>
      <c r="F1496">
        <v>7294</v>
      </c>
      <c r="G1496" s="1">
        <v>0.58599999999999997</v>
      </c>
      <c r="H1496">
        <v>10</v>
      </c>
      <c r="I1496">
        <v>12422</v>
      </c>
    </row>
    <row r="1497" spans="1:9" x14ac:dyDescent="0.35">
      <c r="A1497" t="s">
        <v>9</v>
      </c>
      <c r="B1497" t="s">
        <v>1356</v>
      </c>
      <c r="C1497" t="s">
        <v>1478</v>
      </c>
      <c r="D1497" t="str">
        <f>"181613"</f>
        <v>181613</v>
      </c>
      <c r="E1497">
        <v>17539</v>
      </c>
      <c r="F1497">
        <v>10136</v>
      </c>
      <c r="G1497" s="1">
        <v>0.57789999999999997</v>
      </c>
      <c r="H1497">
        <v>12</v>
      </c>
      <c r="I1497">
        <v>17359</v>
      </c>
    </row>
    <row r="1498" spans="1:9" x14ac:dyDescent="0.35">
      <c r="A1498" t="s">
        <v>9</v>
      </c>
      <c r="B1498" t="s">
        <v>1356</v>
      </c>
      <c r="C1498" t="s">
        <v>1479</v>
      </c>
      <c r="D1498" t="str">
        <f>"181614"</f>
        <v>181614</v>
      </c>
      <c r="E1498">
        <v>8377</v>
      </c>
      <c r="F1498">
        <v>4764</v>
      </c>
      <c r="G1498" s="1">
        <v>0.56869999999999998</v>
      </c>
      <c r="H1498">
        <v>6</v>
      </c>
      <c r="I1498">
        <v>8333</v>
      </c>
    </row>
    <row r="1499" spans="1:9" x14ac:dyDescent="0.35">
      <c r="A1499" t="s">
        <v>9</v>
      </c>
      <c r="B1499" t="s">
        <v>1356</v>
      </c>
      <c r="C1499" t="s">
        <v>1480</v>
      </c>
      <c r="D1499" t="str">
        <f>"181701"</f>
        <v>181701</v>
      </c>
      <c r="E1499">
        <v>26664</v>
      </c>
      <c r="F1499">
        <v>14559</v>
      </c>
      <c r="G1499" s="1">
        <v>0.54600000000000004</v>
      </c>
      <c r="H1499">
        <v>21</v>
      </c>
      <c r="I1499">
        <v>26421</v>
      </c>
    </row>
    <row r="1500" spans="1:9" x14ac:dyDescent="0.35">
      <c r="A1500" t="s">
        <v>9</v>
      </c>
      <c r="B1500" t="s">
        <v>1356</v>
      </c>
      <c r="C1500" t="s">
        <v>1481</v>
      </c>
      <c r="D1500" t="str">
        <f>"181702"</f>
        <v>181702</v>
      </c>
      <c r="E1500">
        <v>3273</v>
      </c>
      <c r="F1500">
        <v>1691</v>
      </c>
      <c r="G1500" s="1">
        <v>0.51670000000000005</v>
      </c>
      <c r="H1500">
        <v>4</v>
      </c>
      <c r="I1500">
        <v>3264</v>
      </c>
    </row>
    <row r="1501" spans="1:9" x14ac:dyDescent="0.35">
      <c r="A1501" t="s">
        <v>9</v>
      </c>
      <c r="B1501" t="s">
        <v>1356</v>
      </c>
      <c r="C1501" t="s">
        <v>1482</v>
      </c>
      <c r="D1501" t="str">
        <f>"181703"</f>
        <v>181703</v>
      </c>
      <c r="E1501">
        <v>4043</v>
      </c>
      <c r="F1501">
        <v>2111</v>
      </c>
      <c r="G1501" s="1">
        <v>0.52210000000000001</v>
      </c>
      <c r="H1501">
        <v>6</v>
      </c>
      <c r="I1501">
        <v>4007</v>
      </c>
    </row>
    <row r="1502" spans="1:9" x14ac:dyDescent="0.35">
      <c r="A1502" t="s">
        <v>9</v>
      </c>
      <c r="B1502" t="s">
        <v>1356</v>
      </c>
      <c r="C1502" t="s">
        <v>1483</v>
      </c>
      <c r="D1502" t="str">
        <f>"181704"</f>
        <v>181704</v>
      </c>
      <c r="E1502">
        <v>3532</v>
      </c>
      <c r="F1502">
        <v>1665</v>
      </c>
      <c r="G1502" s="1">
        <v>0.47139999999999999</v>
      </c>
      <c r="H1502">
        <v>7</v>
      </c>
      <c r="I1502">
        <v>3452</v>
      </c>
    </row>
    <row r="1503" spans="1:9" x14ac:dyDescent="0.35">
      <c r="A1503" t="s">
        <v>9</v>
      </c>
      <c r="B1503" t="s">
        <v>1356</v>
      </c>
      <c r="C1503" t="s">
        <v>1484</v>
      </c>
      <c r="D1503" t="str">
        <f>"181705"</f>
        <v>181705</v>
      </c>
      <c r="E1503">
        <v>13652</v>
      </c>
      <c r="F1503">
        <v>7323</v>
      </c>
      <c r="G1503" s="1">
        <v>0.53639999999999999</v>
      </c>
      <c r="H1503">
        <v>22</v>
      </c>
      <c r="I1503">
        <v>13584</v>
      </c>
    </row>
    <row r="1504" spans="1:9" x14ac:dyDescent="0.35">
      <c r="A1504" t="s">
        <v>9</v>
      </c>
      <c r="B1504" t="s">
        <v>1356</v>
      </c>
      <c r="C1504" t="s">
        <v>1485</v>
      </c>
      <c r="D1504" t="str">
        <f>"181706"</f>
        <v>181706</v>
      </c>
      <c r="E1504">
        <v>1541</v>
      </c>
      <c r="F1504">
        <v>803</v>
      </c>
      <c r="G1504" s="1">
        <v>0.52110000000000001</v>
      </c>
      <c r="H1504">
        <v>3</v>
      </c>
      <c r="I1504">
        <v>1528</v>
      </c>
    </row>
    <row r="1505" spans="1:9" x14ac:dyDescent="0.35">
      <c r="A1505" t="s">
        <v>9</v>
      </c>
      <c r="B1505" t="s">
        <v>1356</v>
      </c>
      <c r="C1505" t="s">
        <v>1486</v>
      </c>
      <c r="D1505" t="str">
        <f>"181707"</f>
        <v>181707</v>
      </c>
      <c r="E1505">
        <v>9863</v>
      </c>
      <c r="F1505">
        <v>4675</v>
      </c>
      <c r="G1505" s="1">
        <v>0.47399999999999998</v>
      </c>
      <c r="H1505">
        <v>8</v>
      </c>
      <c r="I1505">
        <v>9849</v>
      </c>
    </row>
    <row r="1506" spans="1:9" x14ac:dyDescent="0.35">
      <c r="A1506" t="s">
        <v>9</v>
      </c>
      <c r="B1506" t="s">
        <v>1356</v>
      </c>
      <c r="C1506" t="s">
        <v>1487</v>
      </c>
      <c r="D1506" t="str">
        <f>"181708"</f>
        <v>181708</v>
      </c>
      <c r="E1506">
        <v>6944</v>
      </c>
      <c r="F1506">
        <v>3627</v>
      </c>
      <c r="G1506" s="1">
        <v>0.52229999999999999</v>
      </c>
      <c r="H1506">
        <v>8</v>
      </c>
      <c r="I1506">
        <v>6914</v>
      </c>
    </row>
    <row r="1507" spans="1:9" x14ac:dyDescent="0.35">
      <c r="A1507" t="s">
        <v>9</v>
      </c>
      <c r="B1507" t="s">
        <v>1356</v>
      </c>
      <c r="C1507" t="s">
        <v>1488</v>
      </c>
      <c r="D1507" t="str">
        <f>"181801"</f>
        <v>181801</v>
      </c>
      <c r="E1507">
        <v>42417</v>
      </c>
      <c r="F1507">
        <v>22531</v>
      </c>
      <c r="G1507" s="1">
        <v>0.53120000000000001</v>
      </c>
      <c r="H1507">
        <v>33</v>
      </c>
      <c r="I1507">
        <v>42242</v>
      </c>
    </row>
    <row r="1508" spans="1:9" x14ac:dyDescent="0.35">
      <c r="A1508" t="s">
        <v>9</v>
      </c>
      <c r="B1508" t="s">
        <v>1356</v>
      </c>
      <c r="C1508" t="s">
        <v>1489</v>
      </c>
      <c r="D1508" t="str">
        <f>"181802"</f>
        <v>181802</v>
      </c>
      <c r="E1508">
        <v>5873</v>
      </c>
      <c r="F1508">
        <v>3052</v>
      </c>
      <c r="G1508" s="1">
        <v>0.51970000000000005</v>
      </c>
      <c r="H1508">
        <v>11</v>
      </c>
      <c r="I1508">
        <v>5863</v>
      </c>
    </row>
    <row r="1509" spans="1:9" x14ac:dyDescent="0.35">
      <c r="A1509" t="s">
        <v>9</v>
      </c>
      <c r="B1509" t="s">
        <v>1356</v>
      </c>
      <c r="C1509" t="s">
        <v>1490</v>
      </c>
      <c r="D1509" t="str">
        <f>"181803"</f>
        <v>181803</v>
      </c>
      <c r="E1509">
        <v>8808</v>
      </c>
      <c r="F1509">
        <v>4568</v>
      </c>
      <c r="G1509" s="1">
        <v>0.51859999999999995</v>
      </c>
      <c r="H1509">
        <v>10</v>
      </c>
      <c r="I1509">
        <v>8789</v>
      </c>
    </row>
    <row r="1510" spans="1:9" x14ac:dyDescent="0.35">
      <c r="A1510" t="s">
        <v>9</v>
      </c>
      <c r="B1510" t="s">
        <v>1356</v>
      </c>
      <c r="C1510" t="s">
        <v>1491</v>
      </c>
      <c r="D1510" t="str">
        <f>"181804"</f>
        <v>181804</v>
      </c>
      <c r="E1510">
        <v>5549</v>
      </c>
      <c r="F1510">
        <v>2946</v>
      </c>
      <c r="G1510" s="1">
        <v>0.53090000000000004</v>
      </c>
      <c r="H1510">
        <v>13</v>
      </c>
      <c r="I1510">
        <v>5525</v>
      </c>
    </row>
    <row r="1511" spans="1:9" x14ac:dyDescent="0.35">
      <c r="A1511" t="s">
        <v>9</v>
      </c>
      <c r="B1511" t="s">
        <v>1356</v>
      </c>
      <c r="C1511" t="s">
        <v>1492</v>
      </c>
      <c r="D1511" t="str">
        <f>"181805"</f>
        <v>181805</v>
      </c>
      <c r="E1511">
        <v>6350</v>
      </c>
      <c r="F1511">
        <v>3473</v>
      </c>
      <c r="G1511" s="1">
        <v>0.54690000000000005</v>
      </c>
      <c r="H1511">
        <v>7</v>
      </c>
      <c r="I1511">
        <v>6333</v>
      </c>
    </row>
    <row r="1512" spans="1:9" x14ac:dyDescent="0.35">
      <c r="A1512" t="s">
        <v>9</v>
      </c>
      <c r="B1512" t="s">
        <v>1356</v>
      </c>
      <c r="C1512" t="s">
        <v>1493</v>
      </c>
      <c r="D1512" t="str">
        <f>"181806"</f>
        <v>181806</v>
      </c>
      <c r="E1512">
        <v>8459</v>
      </c>
      <c r="F1512">
        <v>4419</v>
      </c>
      <c r="G1512" s="1">
        <v>0.52239999999999998</v>
      </c>
      <c r="H1512">
        <v>13</v>
      </c>
      <c r="I1512">
        <v>8448</v>
      </c>
    </row>
    <row r="1513" spans="1:9" x14ac:dyDescent="0.35">
      <c r="A1513" t="s">
        <v>9</v>
      </c>
      <c r="B1513" t="s">
        <v>1356</v>
      </c>
      <c r="C1513" t="s">
        <v>1494</v>
      </c>
      <c r="D1513" t="str">
        <f>"181901"</f>
        <v>181901</v>
      </c>
      <c r="E1513">
        <v>8960</v>
      </c>
      <c r="F1513">
        <v>5369</v>
      </c>
      <c r="G1513" s="1">
        <v>0.59919999999999995</v>
      </c>
      <c r="H1513">
        <v>8</v>
      </c>
      <c r="I1513">
        <v>8923</v>
      </c>
    </row>
    <row r="1514" spans="1:9" x14ac:dyDescent="0.35">
      <c r="A1514" t="s">
        <v>9</v>
      </c>
      <c r="B1514" t="s">
        <v>1356</v>
      </c>
      <c r="C1514" t="s">
        <v>1495</v>
      </c>
      <c r="D1514" t="str">
        <f>"181902"</f>
        <v>181902</v>
      </c>
      <c r="E1514">
        <v>8070</v>
      </c>
      <c r="F1514">
        <v>4309</v>
      </c>
      <c r="G1514" s="1">
        <v>0.53400000000000003</v>
      </c>
      <c r="H1514">
        <v>11</v>
      </c>
      <c r="I1514">
        <v>7917</v>
      </c>
    </row>
    <row r="1515" spans="1:9" x14ac:dyDescent="0.35">
      <c r="A1515" t="s">
        <v>9</v>
      </c>
      <c r="B1515" t="s">
        <v>1356</v>
      </c>
      <c r="C1515" t="s">
        <v>1496</v>
      </c>
      <c r="D1515" t="str">
        <f>"181903"</f>
        <v>181903</v>
      </c>
      <c r="E1515">
        <v>8161</v>
      </c>
      <c r="F1515">
        <v>4794</v>
      </c>
      <c r="G1515" s="1">
        <v>0.58740000000000003</v>
      </c>
      <c r="H1515">
        <v>11</v>
      </c>
      <c r="I1515">
        <v>8045</v>
      </c>
    </row>
    <row r="1516" spans="1:9" x14ac:dyDescent="0.35">
      <c r="A1516" t="s">
        <v>9</v>
      </c>
      <c r="B1516" t="s">
        <v>1356</v>
      </c>
      <c r="C1516" t="s">
        <v>1497</v>
      </c>
      <c r="D1516" t="str">
        <f>"181904"</f>
        <v>181904</v>
      </c>
      <c r="E1516">
        <v>15499</v>
      </c>
      <c r="F1516">
        <v>8081</v>
      </c>
      <c r="G1516" s="1">
        <v>0.52139999999999997</v>
      </c>
      <c r="H1516">
        <v>20</v>
      </c>
      <c r="I1516">
        <v>15370</v>
      </c>
    </row>
    <row r="1517" spans="1:9" x14ac:dyDescent="0.35">
      <c r="A1517" t="s">
        <v>9</v>
      </c>
      <c r="B1517" t="s">
        <v>1356</v>
      </c>
      <c r="C1517" t="s">
        <v>874</v>
      </c>
      <c r="D1517" t="str">
        <f>"181905"</f>
        <v>181905</v>
      </c>
      <c r="E1517">
        <v>6224</v>
      </c>
      <c r="F1517">
        <v>3406</v>
      </c>
      <c r="G1517" s="1">
        <v>0.54720000000000002</v>
      </c>
      <c r="H1517">
        <v>13</v>
      </c>
      <c r="I1517">
        <v>6205</v>
      </c>
    </row>
    <row r="1518" spans="1:9" x14ac:dyDescent="0.35">
      <c r="A1518" t="s">
        <v>9</v>
      </c>
      <c r="B1518" t="s">
        <v>1356</v>
      </c>
      <c r="C1518" t="s">
        <v>1498</v>
      </c>
      <c r="D1518" t="str">
        <f>"182001"</f>
        <v>182001</v>
      </c>
      <c r="E1518">
        <v>8946</v>
      </c>
      <c r="F1518">
        <v>4592</v>
      </c>
      <c r="G1518" s="1">
        <v>0.51329999999999998</v>
      </c>
      <c r="H1518">
        <v>14</v>
      </c>
      <c r="I1518">
        <v>8924</v>
      </c>
    </row>
    <row r="1519" spans="1:9" x14ac:dyDescent="0.35">
      <c r="A1519" t="s">
        <v>9</v>
      </c>
      <c r="B1519" t="s">
        <v>1356</v>
      </c>
      <c r="C1519" t="s">
        <v>1499</v>
      </c>
      <c r="D1519" t="str">
        <f>"182002"</f>
        <v>182002</v>
      </c>
      <c r="E1519">
        <v>9832</v>
      </c>
      <c r="F1519">
        <v>4908</v>
      </c>
      <c r="G1519" s="1">
        <v>0.49919999999999998</v>
      </c>
      <c r="H1519">
        <v>11</v>
      </c>
      <c r="I1519">
        <v>9819</v>
      </c>
    </row>
    <row r="1520" spans="1:9" x14ac:dyDescent="0.35">
      <c r="A1520" t="s">
        <v>9</v>
      </c>
      <c r="B1520" t="s">
        <v>1356</v>
      </c>
      <c r="C1520" t="s">
        <v>1500</v>
      </c>
      <c r="D1520" t="str">
        <f>"182003"</f>
        <v>182003</v>
      </c>
      <c r="E1520">
        <v>7817</v>
      </c>
      <c r="F1520">
        <v>4145</v>
      </c>
      <c r="G1520" s="1">
        <v>0.53029999999999999</v>
      </c>
      <c r="H1520">
        <v>8</v>
      </c>
      <c r="I1520">
        <v>7787</v>
      </c>
    </row>
    <row r="1521" spans="1:9" x14ac:dyDescent="0.35">
      <c r="A1521" t="s">
        <v>9</v>
      </c>
      <c r="B1521" t="s">
        <v>1356</v>
      </c>
      <c r="C1521" t="s">
        <v>1501</v>
      </c>
      <c r="D1521" t="str">
        <f>"182004"</f>
        <v>182004</v>
      </c>
      <c r="E1521">
        <v>13448</v>
      </c>
      <c r="F1521">
        <v>6827</v>
      </c>
      <c r="G1521" s="1">
        <v>0.50770000000000004</v>
      </c>
      <c r="H1521">
        <v>13</v>
      </c>
      <c r="I1521">
        <v>13369</v>
      </c>
    </row>
    <row r="1522" spans="1:9" x14ac:dyDescent="0.35">
      <c r="A1522" t="s">
        <v>9</v>
      </c>
      <c r="B1522" t="s">
        <v>1356</v>
      </c>
      <c r="C1522" t="s">
        <v>1502</v>
      </c>
      <c r="D1522" t="str">
        <f>"182101"</f>
        <v>182101</v>
      </c>
      <c r="E1522">
        <v>2647</v>
      </c>
      <c r="F1522">
        <v>1445</v>
      </c>
      <c r="G1522" s="1">
        <v>0.54590000000000005</v>
      </c>
      <c r="H1522">
        <v>3</v>
      </c>
      <c r="I1522">
        <v>2534</v>
      </c>
    </row>
    <row r="1523" spans="1:9" x14ac:dyDescent="0.35">
      <c r="A1523" t="s">
        <v>9</v>
      </c>
      <c r="B1523" t="s">
        <v>1356</v>
      </c>
      <c r="C1523" t="s">
        <v>1503</v>
      </c>
      <c r="D1523" t="str">
        <f>"182102"</f>
        <v>182102</v>
      </c>
      <c r="E1523">
        <v>2841</v>
      </c>
      <c r="F1523">
        <v>2124</v>
      </c>
      <c r="G1523" s="1">
        <v>0.74760000000000004</v>
      </c>
      <c r="H1523">
        <v>2</v>
      </c>
      <c r="I1523">
        <v>2175</v>
      </c>
    </row>
    <row r="1524" spans="1:9" x14ac:dyDescent="0.35">
      <c r="A1524" t="s">
        <v>9</v>
      </c>
      <c r="B1524" t="s">
        <v>1356</v>
      </c>
      <c r="C1524" t="s">
        <v>1504</v>
      </c>
      <c r="D1524" t="str">
        <f>"182103"</f>
        <v>182103</v>
      </c>
      <c r="E1524">
        <v>8719</v>
      </c>
      <c r="F1524">
        <v>4596</v>
      </c>
      <c r="G1524" s="1">
        <v>0.52710000000000001</v>
      </c>
      <c r="H1524">
        <v>11</v>
      </c>
      <c r="I1524">
        <v>8482</v>
      </c>
    </row>
    <row r="1525" spans="1:9" x14ac:dyDescent="0.35">
      <c r="A1525" t="s">
        <v>9</v>
      </c>
      <c r="B1525" t="s">
        <v>1356</v>
      </c>
      <c r="C1525" t="s">
        <v>1505</v>
      </c>
      <c r="D1525" t="str">
        <f>"182104"</f>
        <v>182104</v>
      </c>
      <c r="E1525">
        <v>3717</v>
      </c>
      <c r="F1525">
        <v>1908</v>
      </c>
      <c r="G1525" s="1">
        <v>0.51329999999999998</v>
      </c>
      <c r="H1525">
        <v>4</v>
      </c>
      <c r="I1525">
        <v>3673</v>
      </c>
    </row>
    <row r="1526" spans="1:9" x14ac:dyDescent="0.35">
      <c r="A1526" t="s">
        <v>9</v>
      </c>
      <c r="B1526" t="s">
        <v>1356</v>
      </c>
      <c r="C1526" t="s">
        <v>1506</v>
      </c>
      <c r="D1526" t="str">
        <f>"182105"</f>
        <v>182105</v>
      </c>
      <c r="E1526">
        <v>5616</v>
      </c>
      <c r="F1526">
        <v>3354</v>
      </c>
      <c r="G1526" s="1">
        <v>0.59719999999999995</v>
      </c>
      <c r="H1526">
        <v>8</v>
      </c>
      <c r="I1526">
        <v>4677</v>
      </c>
    </row>
    <row r="1527" spans="1:9" x14ac:dyDescent="0.35">
      <c r="A1527" t="s">
        <v>9</v>
      </c>
      <c r="B1527" t="s">
        <v>1356</v>
      </c>
      <c r="C1527" t="s">
        <v>1507</v>
      </c>
      <c r="D1527" t="str">
        <f>"186101"</f>
        <v>186101</v>
      </c>
      <c r="E1527">
        <v>33797</v>
      </c>
      <c r="F1527">
        <v>18968</v>
      </c>
      <c r="G1527" s="1">
        <v>0.56120000000000003</v>
      </c>
      <c r="H1527">
        <v>24</v>
      </c>
      <c r="I1527">
        <v>33509</v>
      </c>
    </row>
    <row r="1528" spans="1:9" x14ac:dyDescent="0.35">
      <c r="A1528" t="s">
        <v>9</v>
      </c>
      <c r="B1528" t="s">
        <v>1356</v>
      </c>
      <c r="C1528" t="s">
        <v>1508</v>
      </c>
      <c r="D1528" t="str">
        <f>"186201"</f>
        <v>186201</v>
      </c>
      <c r="E1528">
        <v>42169</v>
      </c>
      <c r="F1528">
        <v>22878</v>
      </c>
      <c r="G1528" s="1">
        <v>0.54249999999999998</v>
      </c>
      <c r="H1528">
        <v>31</v>
      </c>
      <c r="I1528">
        <v>42015</v>
      </c>
    </row>
    <row r="1529" spans="1:9" x14ac:dyDescent="0.35">
      <c r="A1529" t="s">
        <v>9</v>
      </c>
      <c r="B1529" t="s">
        <v>1356</v>
      </c>
      <c r="C1529" t="s">
        <v>1509</v>
      </c>
      <c r="D1529" t="str">
        <f>"186301"</f>
        <v>186301</v>
      </c>
      <c r="E1529">
        <v>148315</v>
      </c>
      <c r="F1529">
        <v>86548</v>
      </c>
      <c r="G1529" s="1">
        <v>0.58350000000000002</v>
      </c>
      <c r="H1529">
        <v>93</v>
      </c>
      <c r="I1529">
        <v>147294</v>
      </c>
    </row>
    <row r="1530" spans="1:9" x14ac:dyDescent="0.35">
      <c r="A1530" t="s">
        <v>9</v>
      </c>
      <c r="B1530" t="s">
        <v>1356</v>
      </c>
      <c r="C1530" t="s">
        <v>1510</v>
      </c>
      <c r="D1530" t="str">
        <f>"186401"</f>
        <v>186401</v>
      </c>
      <c r="E1530">
        <v>33566</v>
      </c>
      <c r="F1530">
        <v>18600</v>
      </c>
      <c r="G1530" s="1">
        <v>0.55410000000000004</v>
      </c>
      <c r="H1530">
        <v>31</v>
      </c>
      <c r="I1530">
        <v>33329</v>
      </c>
    </row>
    <row r="1531" spans="1:9" x14ac:dyDescent="0.35">
      <c r="A1531" t="s">
        <v>9</v>
      </c>
      <c r="B1531" t="s">
        <v>1511</v>
      </c>
      <c r="C1531" t="s">
        <v>1512</v>
      </c>
      <c r="D1531" t="str">
        <f>"200101"</f>
        <v>200101</v>
      </c>
      <c r="E1531">
        <v>21651</v>
      </c>
      <c r="F1531">
        <v>12473</v>
      </c>
      <c r="G1531" s="1">
        <v>0.57609999999999995</v>
      </c>
      <c r="H1531">
        <v>19</v>
      </c>
      <c r="I1531">
        <v>21319</v>
      </c>
    </row>
    <row r="1532" spans="1:9" x14ac:dyDescent="0.35">
      <c r="A1532" t="s">
        <v>9</v>
      </c>
      <c r="B1532" t="s">
        <v>1511</v>
      </c>
      <c r="C1532" t="s">
        <v>1513</v>
      </c>
      <c r="D1532" t="str">
        <f>"200102"</f>
        <v>200102</v>
      </c>
      <c r="E1532">
        <v>5099</v>
      </c>
      <c r="F1532">
        <v>2808</v>
      </c>
      <c r="G1532" s="1">
        <v>0.55069999999999997</v>
      </c>
      <c r="H1532">
        <v>10</v>
      </c>
      <c r="I1532">
        <v>5076</v>
      </c>
    </row>
    <row r="1533" spans="1:9" x14ac:dyDescent="0.35">
      <c r="A1533" t="s">
        <v>9</v>
      </c>
      <c r="B1533" t="s">
        <v>1511</v>
      </c>
      <c r="C1533" t="s">
        <v>1514</v>
      </c>
      <c r="D1533" t="str">
        <f>"200103"</f>
        <v>200103</v>
      </c>
      <c r="E1533">
        <v>4115</v>
      </c>
      <c r="F1533">
        <v>2092</v>
      </c>
      <c r="G1533" s="1">
        <v>0.50839999999999996</v>
      </c>
      <c r="H1533">
        <v>4</v>
      </c>
      <c r="I1533">
        <v>4097</v>
      </c>
    </row>
    <row r="1534" spans="1:9" x14ac:dyDescent="0.35">
      <c r="A1534" t="s">
        <v>9</v>
      </c>
      <c r="B1534" t="s">
        <v>1511</v>
      </c>
      <c r="C1534" t="s">
        <v>1515</v>
      </c>
      <c r="D1534" t="str">
        <f>"200104"</f>
        <v>200104</v>
      </c>
      <c r="E1534">
        <v>3854</v>
      </c>
      <c r="F1534">
        <v>2212</v>
      </c>
      <c r="G1534" s="1">
        <v>0.57389999999999997</v>
      </c>
      <c r="H1534">
        <v>7</v>
      </c>
      <c r="I1534">
        <v>3821</v>
      </c>
    </row>
    <row r="1535" spans="1:9" x14ac:dyDescent="0.35">
      <c r="A1535" t="s">
        <v>9</v>
      </c>
      <c r="B1535" t="s">
        <v>1511</v>
      </c>
      <c r="C1535" t="s">
        <v>1516</v>
      </c>
      <c r="D1535" t="str">
        <f>"200105"</f>
        <v>200105</v>
      </c>
      <c r="E1535">
        <v>2318</v>
      </c>
      <c r="F1535">
        <v>1433</v>
      </c>
      <c r="G1535" s="1">
        <v>0.61819999999999997</v>
      </c>
      <c r="H1535">
        <v>4</v>
      </c>
      <c r="I1535">
        <v>2301</v>
      </c>
    </row>
    <row r="1536" spans="1:9" x14ac:dyDescent="0.35">
      <c r="A1536" t="s">
        <v>9</v>
      </c>
      <c r="B1536" t="s">
        <v>1511</v>
      </c>
      <c r="C1536" t="s">
        <v>1517</v>
      </c>
      <c r="D1536" t="str">
        <f>"200106"</f>
        <v>200106</v>
      </c>
      <c r="E1536">
        <v>2259</v>
      </c>
      <c r="F1536">
        <v>1378</v>
      </c>
      <c r="G1536" s="1">
        <v>0.61</v>
      </c>
      <c r="H1536">
        <v>4</v>
      </c>
      <c r="I1536">
        <v>1977</v>
      </c>
    </row>
    <row r="1537" spans="1:9" x14ac:dyDescent="0.35">
      <c r="A1537" t="s">
        <v>9</v>
      </c>
      <c r="B1537" t="s">
        <v>1511</v>
      </c>
      <c r="C1537" t="s">
        <v>1518</v>
      </c>
      <c r="D1537" t="str">
        <f>"200107"</f>
        <v>200107</v>
      </c>
      <c r="E1537">
        <v>3804</v>
      </c>
      <c r="F1537">
        <v>2112</v>
      </c>
      <c r="G1537" s="1">
        <v>0.55520000000000003</v>
      </c>
      <c r="H1537">
        <v>4</v>
      </c>
      <c r="I1537">
        <v>3792</v>
      </c>
    </row>
    <row r="1538" spans="1:9" x14ac:dyDescent="0.35">
      <c r="A1538" t="s">
        <v>9</v>
      </c>
      <c r="B1538" t="s">
        <v>1511</v>
      </c>
      <c r="C1538" t="s">
        <v>1519</v>
      </c>
      <c r="D1538" t="str">
        <f>"200201"</f>
        <v>200201</v>
      </c>
      <c r="E1538">
        <v>12535</v>
      </c>
      <c r="F1538">
        <v>8045</v>
      </c>
      <c r="G1538" s="1">
        <v>0.64180000000000004</v>
      </c>
      <c r="H1538">
        <v>12</v>
      </c>
      <c r="I1538">
        <v>12482</v>
      </c>
    </row>
    <row r="1539" spans="1:9" x14ac:dyDescent="0.35">
      <c r="A1539" t="s">
        <v>9</v>
      </c>
      <c r="B1539" t="s">
        <v>1511</v>
      </c>
      <c r="C1539" t="s">
        <v>1520</v>
      </c>
      <c r="D1539" t="str">
        <f>"200202"</f>
        <v>200202</v>
      </c>
      <c r="E1539">
        <v>8195</v>
      </c>
      <c r="F1539">
        <v>4784</v>
      </c>
      <c r="G1539" s="1">
        <v>0.58379999999999999</v>
      </c>
      <c r="H1539">
        <v>7</v>
      </c>
      <c r="I1539">
        <v>8093</v>
      </c>
    </row>
    <row r="1540" spans="1:9" x14ac:dyDescent="0.35">
      <c r="A1540" t="s">
        <v>9</v>
      </c>
      <c r="B1540" t="s">
        <v>1511</v>
      </c>
      <c r="C1540" t="s">
        <v>1521</v>
      </c>
      <c r="D1540" t="str">
        <f>"200203"</f>
        <v>200203</v>
      </c>
      <c r="E1540">
        <v>7610</v>
      </c>
      <c r="F1540">
        <v>4828</v>
      </c>
      <c r="G1540" s="1">
        <v>0.63439999999999996</v>
      </c>
      <c r="H1540">
        <v>9</v>
      </c>
      <c r="I1540">
        <v>7565</v>
      </c>
    </row>
    <row r="1541" spans="1:9" x14ac:dyDescent="0.35">
      <c r="A1541" t="s">
        <v>9</v>
      </c>
      <c r="B1541" t="s">
        <v>1511</v>
      </c>
      <c r="C1541" t="s">
        <v>1522</v>
      </c>
      <c r="D1541" t="str">
        <f>"200204"</f>
        <v>200204</v>
      </c>
      <c r="E1541">
        <v>4170</v>
      </c>
      <c r="F1541">
        <v>2434</v>
      </c>
      <c r="G1541" s="1">
        <v>0.5837</v>
      </c>
      <c r="H1541">
        <v>10</v>
      </c>
      <c r="I1541">
        <v>4120</v>
      </c>
    </row>
    <row r="1542" spans="1:9" x14ac:dyDescent="0.35">
      <c r="A1542" t="s">
        <v>9</v>
      </c>
      <c r="B1542" t="s">
        <v>1511</v>
      </c>
      <c r="C1542" t="s">
        <v>1523</v>
      </c>
      <c r="D1542" t="str">
        <f>"200205"</f>
        <v>200205</v>
      </c>
      <c r="E1542">
        <v>12854</v>
      </c>
      <c r="F1542">
        <v>8286</v>
      </c>
      <c r="G1542" s="1">
        <v>0.64459999999999995</v>
      </c>
      <c r="H1542">
        <v>14</v>
      </c>
      <c r="I1542">
        <v>12797</v>
      </c>
    </row>
    <row r="1543" spans="1:9" x14ac:dyDescent="0.35">
      <c r="A1543" t="s">
        <v>9</v>
      </c>
      <c r="B1543" t="s">
        <v>1511</v>
      </c>
      <c r="C1543" t="s">
        <v>1524</v>
      </c>
      <c r="D1543" t="str">
        <f>"200206"</f>
        <v>200206</v>
      </c>
      <c r="E1543">
        <v>15828</v>
      </c>
      <c r="F1543">
        <v>9052</v>
      </c>
      <c r="G1543" s="1">
        <v>0.57189999999999996</v>
      </c>
      <c r="H1543">
        <v>17</v>
      </c>
      <c r="I1543">
        <v>15776</v>
      </c>
    </row>
    <row r="1544" spans="1:9" x14ac:dyDescent="0.35">
      <c r="A1544" t="s">
        <v>9</v>
      </c>
      <c r="B1544" t="s">
        <v>1511</v>
      </c>
      <c r="C1544" t="s">
        <v>1525</v>
      </c>
      <c r="D1544" t="str">
        <f>"200207"</f>
        <v>200207</v>
      </c>
      <c r="E1544">
        <v>4894</v>
      </c>
      <c r="F1544">
        <v>2620</v>
      </c>
      <c r="G1544" s="1">
        <v>0.5353</v>
      </c>
      <c r="H1544">
        <v>10</v>
      </c>
      <c r="I1544">
        <v>4870</v>
      </c>
    </row>
    <row r="1545" spans="1:9" x14ac:dyDescent="0.35">
      <c r="A1545" t="s">
        <v>9</v>
      </c>
      <c r="B1545" t="s">
        <v>1511</v>
      </c>
      <c r="C1545" t="s">
        <v>673</v>
      </c>
      <c r="D1545" t="str">
        <f>"200208"</f>
        <v>200208</v>
      </c>
      <c r="E1545">
        <v>2541</v>
      </c>
      <c r="F1545">
        <v>1500</v>
      </c>
      <c r="G1545" s="1">
        <v>0.59030000000000005</v>
      </c>
      <c r="H1545">
        <v>3</v>
      </c>
      <c r="I1545">
        <v>2527</v>
      </c>
    </row>
    <row r="1546" spans="1:9" x14ac:dyDescent="0.35">
      <c r="A1546" t="s">
        <v>9</v>
      </c>
      <c r="B1546" t="s">
        <v>1511</v>
      </c>
      <c r="C1546" t="s">
        <v>1526</v>
      </c>
      <c r="D1546" t="str">
        <f>"200209"</f>
        <v>200209</v>
      </c>
      <c r="E1546">
        <v>12969</v>
      </c>
      <c r="F1546">
        <v>7883</v>
      </c>
      <c r="G1546" s="1">
        <v>0.60780000000000001</v>
      </c>
      <c r="H1546">
        <v>13</v>
      </c>
      <c r="I1546">
        <v>12774</v>
      </c>
    </row>
    <row r="1547" spans="1:9" x14ac:dyDescent="0.35">
      <c r="A1547" t="s">
        <v>9</v>
      </c>
      <c r="B1547" t="s">
        <v>1511</v>
      </c>
      <c r="C1547" t="s">
        <v>1527</v>
      </c>
      <c r="D1547" t="str">
        <f>"200210"</f>
        <v>200210</v>
      </c>
      <c r="E1547">
        <v>1509</v>
      </c>
      <c r="F1547">
        <v>999</v>
      </c>
      <c r="G1547" s="1">
        <v>0.66200000000000003</v>
      </c>
      <c r="H1547">
        <v>4</v>
      </c>
      <c r="I1547">
        <v>1498</v>
      </c>
    </row>
    <row r="1548" spans="1:9" x14ac:dyDescent="0.35">
      <c r="A1548" t="s">
        <v>9</v>
      </c>
      <c r="B1548" t="s">
        <v>1511</v>
      </c>
      <c r="C1548" t="s">
        <v>1528</v>
      </c>
      <c r="D1548" t="str">
        <f>"200211"</f>
        <v>200211</v>
      </c>
      <c r="E1548">
        <v>5205</v>
      </c>
      <c r="F1548">
        <v>3525</v>
      </c>
      <c r="G1548" s="1">
        <v>0.67720000000000002</v>
      </c>
      <c r="H1548">
        <v>7</v>
      </c>
      <c r="I1548">
        <v>5159</v>
      </c>
    </row>
    <row r="1549" spans="1:9" x14ac:dyDescent="0.35">
      <c r="A1549" t="s">
        <v>9</v>
      </c>
      <c r="B1549" t="s">
        <v>1511</v>
      </c>
      <c r="C1549" t="s">
        <v>1529</v>
      </c>
      <c r="D1549" t="str">
        <f>"200212"</f>
        <v>200212</v>
      </c>
      <c r="E1549">
        <v>4797</v>
      </c>
      <c r="F1549">
        <v>2657</v>
      </c>
      <c r="G1549" s="1">
        <v>0.55389999999999995</v>
      </c>
      <c r="H1549">
        <v>9</v>
      </c>
      <c r="I1549">
        <v>4744</v>
      </c>
    </row>
    <row r="1550" spans="1:9" x14ac:dyDescent="0.35">
      <c r="A1550" t="s">
        <v>9</v>
      </c>
      <c r="B1550" t="s">
        <v>1511</v>
      </c>
      <c r="C1550" t="s">
        <v>1530</v>
      </c>
      <c r="D1550" t="str">
        <f>"200213"</f>
        <v>200213</v>
      </c>
      <c r="E1550">
        <v>13760</v>
      </c>
      <c r="F1550">
        <v>7955</v>
      </c>
      <c r="G1550" s="1">
        <v>0.57809999999999995</v>
      </c>
      <c r="H1550">
        <v>11</v>
      </c>
      <c r="I1550">
        <v>13724</v>
      </c>
    </row>
    <row r="1551" spans="1:9" x14ac:dyDescent="0.35">
      <c r="A1551" t="s">
        <v>9</v>
      </c>
      <c r="B1551" t="s">
        <v>1511</v>
      </c>
      <c r="C1551" t="s">
        <v>1531</v>
      </c>
      <c r="D1551" t="str">
        <f>"200214"</f>
        <v>200214</v>
      </c>
      <c r="E1551">
        <v>7318</v>
      </c>
      <c r="F1551">
        <v>4414</v>
      </c>
      <c r="G1551" s="1">
        <v>0.60319999999999996</v>
      </c>
      <c r="H1551">
        <v>10</v>
      </c>
      <c r="I1551">
        <v>7286</v>
      </c>
    </row>
    <row r="1552" spans="1:9" x14ac:dyDescent="0.35">
      <c r="A1552" t="s">
        <v>9</v>
      </c>
      <c r="B1552" t="s">
        <v>1511</v>
      </c>
      <c r="C1552" t="s">
        <v>1532</v>
      </c>
      <c r="D1552" t="str">
        <f>"200215"</f>
        <v>200215</v>
      </c>
      <c r="E1552">
        <v>2046</v>
      </c>
      <c r="F1552">
        <v>1080</v>
      </c>
      <c r="G1552" s="1">
        <v>0.52790000000000004</v>
      </c>
      <c r="H1552">
        <v>2</v>
      </c>
      <c r="I1552">
        <v>2045</v>
      </c>
    </row>
    <row r="1553" spans="1:9" x14ac:dyDescent="0.35">
      <c r="A1553" t="s">
        <v>9</v>
      </c>
      <c r="B1553" t="s">
        <v>1511</v>
      </c>
      <c r="C1553" t="s">
        <v>1533</v>
      </c>
      <c r="D1553" t="str">
        <f>"200301"</f>
        <v>200301</v>
      </c>
      <c r="E1553">
        <v>18698</v>
      </c>
      <c r="F1553">
        <v>10532</v>
      </c>
      <c r="G1553" s="1">
        <v>0.56330000000000002</v>
      </c>
      <c r="H1553">
        <v>13</v>
      </c>
      <c r="I1553">
        <v>18523</v>
      </c>
    </row>
    <row r="1554" spans="1:9" x14ac:dyDescent="0.35">
      <c r="A1554" t="s">
        <v>9</v>
      </c>
      <c r="B1554" t="s">
        <v>1511</v>
      </c>
      <c r="C1554" t="s">
        <v>1534</v>
      </c>
      <c r="D1554" t="str">
        <f>"200302"</f>
        <v>200302</v>
      </c>
      <c r="E1554">
        <v>2644</v>
      </c>
      <c r="F1554">
        <v>1446</v>
      </c>
      <c r="G1554" s="1">
        <v>0.54690000000000005</v>
      </c>
      <c r="H1554">
        <v>2</v>
      </c>
      <c r="I1554">
        <v>2631</v>
      </c>
    </row>
    <row r="1555" spans="1:9" x14ac:dyDescent="0.35">
      <c r="A1555" t="s">
        <v>9</v>
      </c>
      <c r="B1555" t="s">
        <v>1511</v>
      </c>
      <c r="C1555" t="s">
        <v>1535</v>
      </c>
      <c r="D1555" t="str">
        <f>"200303"</f>
        <v>200303</v>
      </c>
      <c r="E1555">
        <v>5499</v>
      </c>
      <c r="F1555">
        <v>3019</v>
      </c>
      <c r="G1555" s="1">
        <v>0.54900000000000004</v>
      </c>
      <c r="H1555">
        <v>11</v>
      </c>
      <c r="I1555">
        <v>5330</v>
      </c>
    </row>
    <row r="1556" spans="1:9" x14ac:dyDescent="0.35">
      <c r="A1556" t="s">
        <v>9</v>
      </c>
      <c r="B1556" t="s">
        <v>1511</v>
      </c>
      <c r="C1556" t="s">
        <v>1536</v>
      </c>
      <c r="D1556" t="str">
        <f>"200304"</f>
        <v>200304</v>
      </c>
      <c r="E1556">
        <v>3266</v>
      </c>
      <c r="F1556">
        <v>1821</v>
      </c>
      <c r="G1556" s="1">
        <v>0.55759999999999998</v>
      </c>
      <c r="H1556">
        <v>5</v>
      </c>
      <c r="I1556">
        <v>3238</v>
      </c>
    </row>
    <row r="1557" spans="1:9" x14ac:dyDescent="0.35">
      <c r="A1557" t="s">
        <v>9</v>
      </c>
      <c r="B1557" t="s">
        <v>1511</v>
      </c>
      <c r="C1557" t="s">
        <v>1537</v>
      </c>
      <c r="D1557" t="str">
        <f>"200305"</f>
        <v>200305</v>
      </c>
      <c r="E1557">
        <v>4232</v>
      </c>
      <c r="F1557">
        <v>2624</v>
      </c>
      <c r="G1557" s="1">
        <v>0.62</v>
      </c>
      <c r="H1557">
        <v>11</v>
      </c>
      <c r="I1557">
        <v>4216</v>
      </c>
    </row>
    <row r="1558" spans="1:9" x14ac:dyDescent="0.35">
      <c r="A1558" t="s">
        <v>9</v>
      </c>
      <c r="B1558" t="s">
        <v>1511</v>
      </c>
      <c r="C1558" t="s">
        <v>1538</v>
      </c>
      <c r="D1558" t="str">
        <f>"200306"</f>
        <v>200306</v>
      </c>
      <c r="E1558">
        <v>2154</v>
      </c>
      <c r="F1558">
        <v>1108</v>
      </c>
      <c r="G1558" s="1">
        <v>0.51439999999999997</v>
      </c>
      <c r="H1558">
        <v>5</v>
      </c>
      <c r="I1558">
        <v>2124</v>
      </c>
    </row>
    <row r="1559" spans="1:9" x14ac:dyDescent="0.35">
      <c r="A1559" t="s">
        <v>9</v>
      </c>
      <c r="B1559" t="s">
        <v>1511</v>
      </c>
      <c r="C1559" t="s">
        <v>1539</v>
      </c>
      <c r="D1559" t="str">
        <f>"200307"</f>
        <v>200307</v>
      </c>
      <c r="E1559">
        <v>1357</v>
      </c>
      <c r="F1559">
        <v>817</v>
      </c>
      <c r="G1559" s="1">
        <v>0.60209999999999997</v>
      </c>
      <c r="H1559">
        <v>3</v>
      </c>
      <c r="I1559">
        <v>1332</v>
      </c>
    </row>
    <row r="1560" spans="1:9" x14ac:dyDescent="0.35">
      <c r="A1560" t="s">
        <v>9</v>
      </c>
      <c r="B1560" t="s">
        <v>1511</v>
      </c>
      <c r="C1560" t="s">
        <v>1540</v>
      </c>
      <c r="D1560" t="str">
        <f>"200308"</f>
        <v>200308</v>
      </c>
      <c r="E1560">
        <v>3263</v>
      </c>
      <c r="F1560">
        <v>1964</v>
      </c>
      <c r="G1560" s="1">
        <v>0.60189999999999999</v>
      </c>
      <c r="H1560">
        <v>4</v>
      </c>
      <c r="I1560">
        <v>3235</v>
      </c>
    </row>
    <row r="1561" spans="1:9" x14ac:dyDescent="0.35">
      <c r="A1561" t="s">
        <v>9</v>
      </c>
      <c r="B1561" t="s">
        <v>1511</v>
      </c>
      <c r="C1561" t="s">
        <v>1541</v>
      </c>
      <c r="D1561" t="str">
        <f>"200401"</f>
        <v>200401</v>
      </c>
      <c r="E1561">
        <v>15373</v>
      </c>
      <c r="F1561">
        <v>7849</v>
      </c>
      <c r="G1561" s="1">
        <v>0.51060000000000005</v>
      </c>
      <c r="H1561">
        <v>13</v>
      </c>
      <c r="I1561">
        <v>15271</v>
      </c>
    </row>
    <row r="1562" spans="1:9" x14ac:dyDescent="0.35">
      <c r="A1562" t="s">
        <v>9</v>
      </c>
      <c r="B1562" t="s">
        <v>1511</v>
      </c>
      <c r="C1562" t="s">
        <v>1542</v>
      </c>
      <c r="D1562" t="str">
        <f>"200402"</f>
        <v>200402</v>
      </c>
      <c r="E1562">
        <v>4765</v>
      </c>
      <c r="F1562">
        <v>2651</v>
      </c>
      <c r="G1562" s="1">
        <v>0.55630000000000002</v>
      </c>
      <c r="H1562">
        <v>8</v>
      </c>
      <c r="I1562">
        <v>4272</v>
      </c>
    </row>
    <row r="1563" spans="1:9" x14ac:dyDescent="0.35">
      <c r="A1563" t="s">
        <v>9</v>
      </c>
      <c r="B1563" t="s">
        <v>1511</v>
      </c>
      <c r="C1563" t="s">
        <v>1543</v>
      </c>
      <c r="D1563" t="str">
        <f>"200403"</f>
        <v>200403</v>
      </c>
      <c r="E1563">
        <v>3535</v>
      </c>
      <c r="F1563">
        <v>1829</v>
      </c>
      <c r="G1563" s="1">
        <v>0.51739999999999997</v>
      </c>
      <c r="H1563">
        <v>8</v>
      </c>
      <c r="I1563">
        <v>3513</v>
      </c>
    </row>
    <row r="1564" spans="1:9" x14ac:dyDescent="0.35">
      <c r="A1564" t="s">
        <v>9</v>
      </c>
      <c r="B1564" t="s">
        <v>1511</v>
      </c>
      <c r="C1564" t="s">
        <v>1544</v>
      </c>
      <c r="D1564" t="str">
        <f>"200404"</f>
        <v>200404</v>
      </c>
      <c r="E1564">
        <v>3886</v>
      </c>
      <c r="F1564">
        <v>1795</v>
      </c>
      <c r="G1564" s="1">
        <v>0.46189999999999998</v>
      </c>
      <c r="H1564">
        <v>5</v>
      </c>
      <c r="I1564">
        <v>3880</v>
      </c>
    </row>
    <row r="1565" spans="1:9" x14ac:dyDescent="0.35">
      <c r="A1565" t="s">
        <v>9</v>
      </c>
      <c r="B1565" t="s">
        <v>1511</v>
      </c>
      <c r="C1565" t="s">
        <v>1545</v>
      </c>
      <c r="D1565" t="str">
        <f>"200405"</f>
        <v>200405</v>
      </c>
      <c r="E1565">
        <v>4516</v>
      </c>
      <c r="F1565">
        <v>2311</v>
      </c>
      <c r="G1565" s="1">
        <v>0.51170000000000004</v>
      </c>
      <c r="H1565">
        <v>6</v>
      </c>
      <c r="I1565">
        <v>4473</v>
      </c>
    </row>
    <row r="1566" spans="1:9" x14ac:dyDescent="0.35">
      <c r="A1566" t="s">
        <v>9</v>
      </c>
      <c r="B1566" t="s">
        <v>1511</v>
      </c>
      <c r="C1566" t="s">
        <v>33</v>
      </c>
      <c r="D1566" t="str">
        <f>"200406"</f>
        <v>200406</v>
      </c>
      <c r="E1566">
        <v>2707</v>
      </c>
      <c r="F1566">
        <v>1446</v>
      </c>
      <c r="G1566" s="1">
        <v>0.53420000000000001</v>
      </c>
      <c r="H1566">
        <v>5</v>
      </c>
      <c r="I1566">
        <v>2694</v>
      </c>
    </row>
    <row r="1567" spans="1:9" x14ac:dyDescent="0.35">
      <c r="A1567" t="s">
        <v>9</v>
      </c>
      <c r="B1567" t="s">
        <v>1511</v>
      </c>
      <c r="C1567" t="s">
        <v>1546</v>
      </c>
      <c r="D1567" t="str">
        <f>"200501"</f>
        <v>200501</v>
      </c>
      <c r="E1567">
        <v>15327</v>
      </c>
      <c r="F1567">
        <v>8327</v>
      </c>
      <c r="G1567" s="1">
        <v>0.54330000000000001</v>
      </c>
      <c r="H1567">
        <v>12</v>
      </c>
      <c r="I1567">
        <v>15081</v>
      </c>
    </row>
    <row r="1568" spans="1:9" x14ac:dyDescent="0.35">
      <c r="A1568" t="s">
        <v>9</v>
      </c>
      <c r="B1568" t="s">
        <v>1511</v>
      </c>
      <c r="C1568" t="s">
        <v>1547</v>
      </c>
      <c r="D1568" t="str">
        <f>"200502"</f>
        <v>200502</v>
      </c>
      <c r="E1568">
        <v>1809</v>
      </c>
      <c r="F1568">
        <v>1097</v>
      </c>
      <c r="G1568" s="1">
        <v>0.60640000000000005</v>
      </c>
      <c r="H1568">
        <v>2</v>
      </c>
      <c r="I1568">
        <v>1667</v>
      </c>
    </row>
    <row r="1569" spans="1:9" x14ac:dyDescent="0.35">
      <c r="A1569" t="s">
        <v>9</v>
      </c>
      <c r="B1569" t="s">
        <v>1511</v>
      </c>
      <c r="C1569" t="s">
        <v>1548</v>
      </c>
      <c r="D1569" t="str">
        <f>"200503"</f>
        <v>200503</v>
      </c>
      <c r="E1569">
        <v>2401</v>
      </c>
      <c r="F1569">
        <v>1254</v>
      </c>
      <c r="G1569" s="1">
        <v>0.52229999999999999</v>
      </c>
      <c r="H1569">
        <v>2</v>
      </c>
      <c r="I1569">
        <v>2358</v>
      </c>
    </row>
    <row r="1570" spans="1:9" x14ac:dyDescent="0.35">
      <c r="A1570" t="s">
        <v>9</v>
      </c>
      <c r="B1570" t="s">
        <v>1511</v>
      </c>
      <c r="C1570" t="s">
        <v>1549</v>
      </c>
      <c r="D1570" t="str">
        <f>"200504"</f>
        <v>200504</v>
      </c>
      <c r="E1570">
        <v>1561</v>
      </c>
      <c r="F1570">
        <v>821</v>
      </c>
      <c r="G1570" s="1">
        <v>0.52590000000000003</v>
      </c>
      <c r="H1570">
        <v>4</v>
      </c>
      <c r="I1570">
        <v>1558</v>
      </c>
    </row>
    <row r="1571" spans="1:9" x14ac:dyDescent="0.35">
      <c r="A1571" t="s">
        <v>9</v>
      </c>
      <c r="B1571" t="s">
        <v>1511</v>
      </c>
      <c r="C1571" t="s">
        <v>1550</v>
      </c>
      <c r="D1571" t="str">
        <f>"200505"</f>
        <v>200505</v>
      </c>
      <c r="E1571">
        <v>1303</v>
      </c>
      <c r="F1571">
        <v>879</v>
      </c>
      <c r="G1571" s="1">
        <v>0.67459999999999998</v>
      </c>
      <c r="H1571">
        <v>3</v>
      </c>
      <c r="I1571">
        <v>1303</v>
      </c>
    </row>
    <row r="1572" spans="1:9" x14ac:dyDescent="0.35">
      <c r="A1572" t="s">
        <v>9</v>
      </c>
      <c r="B1572" t="s">
        <v>1511</v>
      </c>
      <c r="C1572" t="s">
        <v>1551</v>
      </c>
      <c r="D1572" t="str">
        <f>"200506"</f>
        <v>200506</v>
      </c>
      <c r="E1572">
        <v>3130</v>
      </c>
      <c r="F1572">
        <v>1669</v>
      </c>
      <c r="G1572" s="1">
        <v>0.53320000000000001</v>
      </c>
      <c r="H1572">
        <v>9</v>
      </c>
      <c r="I1572">
        <v>3062</v>
      </c>
    </row>
    <row r="1573" spans="1:9" x14ac:dyDescent="0.35">
      <c r="A1573" t="s">
        <v>9</v>
      </c>
      <c r="B1573" t="s">
        <v>1511</v>
      </c>
      <c r="C1573" t="s">
        <v>1552</v>
      </c>
      <c r="D1573" t="str">
        <f>"200507"</f>
        <v>200507</v>
      </c>
      <c r="E1573">
        <v>1884</v>
      </c>
      <c r="F1573">
        <v>1032</v>
      </c>
      <c r="G1573" s="1">
        <v>0.54779999999999995</v>
      </c>
      <c r="H1573">
        <v>4</v>
      </c>
      <c r="I1573">
        <v>1838</v>
      </c>
    </row>
    <row r="1574" spans="1:9" x14ac:dyDescent="0.35">
      <c r="A1574" t="s">
        <v>9</v>
      </c>
      <c r="B1574" t="s">
        <v>1511</v>
      </c>
      <c r="C1574" t="s">
        <v>1553</v>
      </c>
      <c r="D1574" t="str">
        <f>"200508"</f>
        <v>200508</v>
      </c>
      <c r="E1574">
        <v>2729</v>
      </c>
      <c r="F1574">
        <v>1398</v>
      </c>
      <c r="G1574" s="1">
        <v>0.51229999999999998</v>
      </c>
      <c r="H1574">
        <v>5</v>
      </c>
      <c r="I1574">
        <v>2691</v>
      </c>
    </row>
    <row r="1575" spans="1:9" x14ac:dyDescent="0.35">
      <c r="A1575" t="s">
        <v>9</v>
      </c>
      <c r="B1575" t="s">
        <v>1511</v>
      </c>
      <c r="C1575" t="s">
        <v>1554</v>
      </c>
      <c r="D1575" t="str">
        <f>"200509"</f>
        <v>200509</v>
      </c>
      <c r="E1575">
        <v>3062</v>
      </c>
      <c r="F1575">
        <v>1736</v>
      </c>
      <c r="G1575" s="1">
        <v>0.56689999999999996</v>
      </c>
      <c r="H1575">
        <v>4</v>
      </c>
      <c r="I1575">
        <v>2873</v>
      </c>
    </row>
    <row r="1576" spans="1:9" x14ac:dyDescent="0.35">
      <c r="A1576" t="s">
        <v>9</v>
      </c>
      <c r="B1576" t="s">
        <v>1511</v>
      </c>
      <c r="C1576" t="s">
        <v>1555</v>
      </c>
      <c r="D1576" t="str">
        <f>"200601"</f>
        <v>200601</v>
      </c>
      <c r="E1576">
        <v>7666</v>
      </c>
      <c r="F1576">
        <v>4030</v>
      </c>
      <c r="G1576" s="1">
        <v>0.52569999999999995</v>
      </c>
      <c r="H1576">
        <v>9</v>
      </c>
      <c r="I1576">
        <v>7340</v>
      </c>
    </row>
    <row r="1577" spans="1:9" x14ac:dyDescent="0.35">
      <c r="A1577" t="s">
        <v>9</v>
      </c>
      <c r="B1577" t="s">
        <v>1511</v>
      </c>
      <c r="C1577" t="s">
        <v>1556</v>
      </c>
      <c r="D1577" t="str">
        <f>"200602"</f>
        <v>200602</v>
      </c>
      <c r="E1577">
        <v>2591</v>
      </c>
      <c r="F1577">
        <v>1398</v>
      </c>
      <c r="G1577" s="1">
        <v>0.53959999999999997</v>
      </c>
      <c r="H1577">
        <v>6</v>
      </c>
      <c r="I1577">
        <v>2574</v>
      </c>
    </row>
    <row r="1578" spans="1:9" x14ac:dyDescent="0.35">
      <c r="A1578" t="s">
        <v>9</v>
      </c>
      <c r="B1578" t="s">
        <v>1511</v>
      </c>
      <c r="C1578" t="s">
        <v>1557</v>
      </c>
      <c r="D1578" t="str">
        <f>"200603"</f>
        <v>200603</v>
      </c>
      <c r="E1578">
        <v>6412</v>
      </c>
      <c r="F1578">
        <v>3429</v>
      </c>
      <c r="G1578" s="1">
        <v>0.53480000000000005</v>
      </c>
      <c r="H1578">
        <v>13</v>
      </c>
      <c r="I1578">
        <v>6380</v>
      </c>
    </row>
    <row r="1579" spans="1:9" x14ac:dyDescent="0.35">
      <c r="A1579" t="s">
        <v>9</v>
      </c>
      <c r="B1579" t="s">
        <v>1511</v>
      </c>
      <c r="C1579" t="s">
        <v>1558</v>
      </c>
      <c r="D1579" t="str">
        <f>"200604"</f>
        <v>200604</v>
      </c>
      <c r="E1579">
        <v>3694</v>
      </c>
      <c r="F1579">
        <v>1935</v>
      </c>
      <c r="G1579" s="1">
        <v>0.52380000000000004</v>
      </c>
      <c r="H1579">
        <v>5</v>
      </c>
      <c r="I1579">
        <v>3680</v>
      </c>
    </row>
    <row r="1580" spans="1:9" x14ac:dyDescent="0.35">
      <c r="A1580" t="s">
        <v>9</v>
      </c>
      <c r="B1580" t="s">
        <v>1511</v>
      </c>
      <c r="C1580" t="s">
        <v>1559</v>
      </c>
      <c r="D1580" t="str">
        <f>"200605"</f>
        <v>200605</v>
      </c>
      <c r="E1580">
        <v>4591</v>
      </c>
      <c r="F1580">
        <v>2230</v>
      </c>
      <c r="G1580" s="1">
        <v>0.48570000000000002</v>
      </c>
      <c r="H1580">
        <v>8</v>
      </c>
      <c r="I1580">
        <v>4567</v>
      </c>
    </row>
    <row r="1581" spans="1:9" x14ac:dyDescent="0.35">
      <c r="A1581" t="s">
        <v>9</v>
      </c>
      <c r="B1581" t="s">
        <v>1511</v>
      </c>
      <c r="C1581" t="s">
        <v>1560</v>
      </c>
      <c r="D1581" t="str">
        <f>"200606"</f>
        <v>200606</v>
      </c>
      <c r="E1581">
        <v>3808</v>
      </c>
      <c r="F1581">
        <v>2069</v>
      </c>
      <c r="G1581" s="1">
        <v>0.54330000000000001</v>
      </c>
      <c r="H1581">
        <v>6</v>
      </c>
      <c r="I1581">
        <v>3800</v>
      </c>
    </row>
    <row r="1582" spans="1:9" x14ac:dyDescent="0.35">
      <c r="A1582" t="s">
        <v>9</v>
      </c>
      <c r="B1582" t="s">
        <v>1511</v>
      </c>
      <c r="C1582" t="s">
        <v>1561</v>
      </c>
      <c r="D1582" t="str">
        <f>"200701"</f>
        <v>200701</v>
      </c>
      <c r="E1582">
        <v>3981</v>
      </c>
      <c r="F1582">
        <v>2128</v>
      </c>
      <c r="G1582" s="1">
        <v>0.53449999999999998</v>
      </c>
      <c r="H1582">
        <v>6</v>
      </c>
      <c r="I1582">
        <v>3968</v>
      </c>
    </row>
    <row r="1583" spans="1:9" x14ac:dyDescent="0.35">
      <c r="A1583" t="s">
        <v>9</v>
      </c>
      <c r="B1583" t="s">
        <v>1511</v>
      </c>
      <c r="C1583" t="s">
        <v>1562</v>
      </c>
      <c r="D1583" t="str">
        <f>"200702"</f>
        <v>200702</v>
      </c>
      <c r="E1583">
        <v>8934</v>
      </c>
      <c r="F1583">
        <v>5276</v>
      </c>
      <c r="G1583" s="1">
        <v>0.59060000000000001</v>
      </c>
      <c r="H1583">
        <v>15</v>
      </c>
      <c r="I1583">
        <v>8907</v>
      </c>
    </row>
    <row r="1584" spans="1:9" x14ac:dyDescent="0.35">
      <c r="A1584" t="s">
        <v>9</v>
      </c>
      <c r="B1584" t="s">
        <v>1511</v>
      </c>
      <c r="C1584" t="s">
        <v>1563</v>
      </c>
      <c r="D1584" t="str">
        <f>"200703"</f>
        <v>200703</v>
      </c>
      <c r="E1584">
        <v>3189</v>
      </c>
      <c r="F1584">
        <v>1632</v>
      </c>
      <c r="G1584" s="1">
        <v>0.51180000000000003</v>
      </c>
      <c r="H1584">
        <v>7</v>
      </c>
      <c r="I1584">
        <v>3147</v>
      </c>
    </row>
    <row r="1585" spans="1:9" x14ac:dyDescent="0.35">
      <c r="A1585" t="s">
        <v>9</v>
      </c>
      <c r="B1585" t="s">
        <v>1511</v>
      </c>
      <c r="C1585" t="s">
        <v>1564</v>
      </c>
      <c r="D1585" t="str">
        <f>"200704"</f>
        <v>200704</v>
      </c>
      <c r="E1585">
        <v>3099</v>
      </c>
      <c r="F1585">
        <v>1711</v>
      </c>
      <c r="G1585" s="1">
        <v>0.55210000000000004</v>
      </c>
      <c r="H1585">
        <v>5</v>
      </c>
      <c r="I1585">
        <v>3079</v>
      </c>
    </row>
    <row r="1586" spans="1:9" x14ac:dyDescent="0.35">
      <c r="A1586" t="s">
        <v>9</v>
      </c>
      <c r="B1586" t="s">
        <v>1511</v>
      </c>
      <c r="C1586" t="s">
        <v>1565</v>
      </c>
      <c r="D1586" t="str">
        <f>"200705"</f>
        <v>200705</v>
      </c>
      <c r="E1586">
        <v>7992</v>
      </c>
      <c r="F1586">
        <v>3886</v>
      </c>
      <c r="G1586" s="1">
        <v>0.48620000000000002</v>
      </c>
      <c r="H1586">
        <v>8</v>
      </c>
      <c r="I1586">
        <v>7950</v>
      </c>
    </row>
    <row r="1587" spans="1:9" x14ac:dyDescent="0.35">
      <c r="A1587" t="s">
        <v>9</v>
      </c>
      <c r="B1587" t="s">
        <v>1511</v>
      </c>
      <c r="C1587" t="s">
        <v>1566</v>
      </c>
      <c r="D1587" t="str">
        <f>"200706"</f>
        <v>200706</v>
      </c>
      <c r="E1587">
        <v>1566</v>
      </c>
      <c r="F1587">
        <v>727</v>
      </c>
      <c r="G1587" s="1">
        <v>0.4642</v>
      </c>
      <c r="H1587">
        <v>4</v>
      </c>
      <c r="I1587">
        <v>1561</v>
      </c>
    </row>
    <row r="1588" spans="1:9" x14ac:dyDescent="0.35">
      <c r="A1588" t="s">
        <v>9</v>
      </c>
      <c r="B1588" t="s">
        <v>1511</v>
      </c>
      <c r="C1588" t="s">
        <v>1567</v>
      </c>
      <c r="D1588" t="str">
        <f>"200707"</f>
        <v>200707</v>
      </c>
      <c r="E1588">
        <v>4007</v>
      </c>
      <c r="F1588">
        <v>2225</v>
      </c>
      <c r="G1588" s="1">
        <v>0.55530000000000002</v>
      </c>
      <c r="H1588">
        <v>5</v>
      </c>
      <c r="I1588">
        <v>3997</v>
      </c>
    </row>
    <row r="1589" spans="1:9" x14ac:dyDescent="0.35">
      <c r="A1589" t="s">
        <v>9</v>
      </c>
      <c r="B1589" t="s">
        <v>1511</v>
      </c>
      <c r="C1589" t="s">
        <v>1568</v>
      </c>
      <c r="D1589" t="str">
        <f>"200708"</f>
        <v>200708</v>
      </c>
      <c r="E1589">
        <v>3030</v>
      </c>
      <c r="F1589">
        <v>1525</v>
      </c>
      <c r="G1589" s="1">
        <v>0.50329999999999997</v>
      </c>
      <c r="H1589">
        <v>6</v>
      </c>
      <c r="I1589">
        <v>3014</v>
      </c>
    </row>
    <row r="1590" spans="1:9" x14ac:dyDescent="0.35">
      <c r="A1590" t="s">
        <v>9</v>
      </c>
      <c r="B1590" t="s">
        <v>1511</v>
      </c>
      <c r="C1590" t="s">
        <v>1569</v>
      </c>
      <c r="D1590" t="str">
        <f>"200709"</f>
        <v>200709</v>
      </c>
      <c r="E1590">
        <v>3219</v>
      </c>
      <c r="F1590">
        <v>1687</v>
      </c>
      <c r="G1590" s="1">
        <v>0.52410000000000001</v>
      </c>
      <c r="H1590">
        <v>5</v>
      </c>
      <c r="I1590">
        <v>3186</v>
      </c>
    </row>
    <row r="1591" spans="1:9" x14ac:dyDescent="0.35">
      <c r="A1591" t="s">
        <v>9</v>
      </c>
      <c r="B1591" t="s">
        <v>1511</v>
      </c>
      <c r="C1591" t="s">
        <v>1570</v>
      </c>
      <c r="D1591" t="str">
        <f>"200801"</f>
        <v>200801</v>
      </c>
      <c r="E1591">
        <v>3709</v>
      </c>
      <c r="F1591">
        <v>1855</v>
      </c>
      <c r="G1591" s="1">
        <v>0.50009999999999999</v>
      </c>
      <c r="H1591">
        <v>6</v>
      </c>
      <c r="I1591">
        <v>3653</v>
      </c>
    </row>
    <row r="1592" spans="1:9" x14ac:dyDescent="0.35">
      <c r="A1592" t="s">
        <v>9</v>
      </c>
      <c r="B1592" t="s">
        <v>1511</v>
      </c>
      <c r="C1592" t="s">
        <v>1571</v>
      </c>
      <c r="D1592" t="str">
        <f>"200802"</f>
        <v>200802</v>
      </c>
      <c r="E1592">
        <v>2082</v>
      </c>
      <c r="F1592">
        <v>1100</v>
      </c>
      <c r="G1592" s="1">
        <v>0.52829999999999999</v>
      </c>
      <c r="H1592">
        <v>2</v>
      </c>
      <c r="I1592">
        <v>2077</v>
      </c>
    </row>
    <row r="1593" spans="1:9" x14ac:dyDescent="0.35">
      <c r="A1593" t="s">
        <v>9</v>
      </c>
      <c r="B1593" t="s">
        <v>1511</v>
      </c>
      <c r="C1593" t="s">
        <v>1572</v>
      </c>
      <c r="D1593" t="str">
        <f>"200803"</f>
        <v>200803</v>
      </c>
      <c r="E1593">
        <v>3662</v>
      </c>
      <c r="F1593">
        <v>2075</v>
      </c>
      <c r="G1593" s="1">
        <v>0.56659999999999999</v>
      </c>
      <c r="H1593">
        <v>8</v>
      </c>
      <c r="I1593">
        <v>3649</v>
      </c>
    </row>
    <row r="1594" spans="1:9" x14ac:dyDescent="0.35">
      <c r="A1594" t="s">
        <v>9</v>
      </c>
      <c r="B1594" t="s">
        <v>1511</v>
      </c>
      <c r="C1594" t="s">
        <v>1573</v>
      </c>
      <c r="D1594" t="str">
        <f>"200804"</f>
        <v>200804</v>
      </c>
      <c r="E1594">
        <v>3535</v>
      </c>
      <c r="F1594">
        <v>1790</v>
      </c>
      <c r="G1594" s="1">
        <v>0.50639999999999996</v>
      </c>
      <c r="H1594">
        <v>3</v>
      </c>
      <c r="I1594">
        <v>3521</v>
      </c>
    </row>
    <row r="1595" spans="1:9" x14ac:dyDescent="0.35">
      <c r="A1595" t="s">
        <v>9</v>
      </c>
      <c r="B1595" t="s">
        <v>1511</v>
      </c>
      <c r="C1595" t="s">
        <v>1574</v>
      </c>
      <c r="D1595" t="str">
        <f>"200805"</f>
        <v>200805</v>
      </c>
      <c r="E1595">
        <v>3001</v>
      </c>
      <c r="F1595">
        <v>1550</v>
      </c>
      <c r="G1595" s="1">
        <v>0.51649999999999996</v>
      </c>
      <c r="H1595">
        <v>4</v>
      </c>
      <c r="I1595">
        <v>2990</v>
      </c>
    </row>
    <row r="1596" spans="1:9" x14ac:dyDescent="0.35">
      <c r="A1596" t="s">
        <v>9</v>
      </c>
      <c r="B1596" t="s">
        <v>1511</v>
      </c>
      <c r="C1596" t="s">
        <v>1575</v>
      </c>
      <c r="D1596" t="str">
        <f>"200806"</f>
        <v>200806</v>
      </c>
      <c r="E1596">
        <v>10826</v>
      </c>
      <c r="F1596">
        <v>5594</v>
      </c>
      <c r="G1596" s="1">
        <v>0.51670000000000005</v>
      </c>
      <c r="H1596">
        <v>12</v>
      </c>
      <c r="I1596">
        <v>10732</v>
      </c>
    </row>
    <row r="1597" spans="1:9" x14ac:dyDescent="0.35">
      <c r="A1597" t="s">
        <v>9</v>
      </c>
      <c r="B1597" t="s">
        <v>1511</v>
      </c>
      <c r="C1597" t="s">
        <v>1576</v>
      </c>
      <c r="D1597" t="str">
        <f>"200807"</f>
        <v>200807</v>
      </c>
      <c r="E1597">
        <v>3235</v>
      </c>
      <c r="F1597">
        <v>1593</v>
      </c>
      <c r="G1597" s="1">
        <v>0.4924</v>
      </c>
      <c r="H1597">
        <v>5</v>
      </c>
      <c r="I1597">
        <v>3235</v>
      </c>
    </row>
    <row r="1598" spans="1:9" x14ac:dyDescent="0.35">
      <c r="A1598" t="s">
        <v>9</v>
      </c>
      <c r="B1598" t="s">
        <v>1511</v>
      </c>
      <c r="C1598" t="s">
        <v>1577</v>
      </c>
      <c r="D1598" t="str">
        <f>"200901"</f>
        <v>200901</v>
      </c>
      <c r="E1598">
        <v>3813</v>
      </c>
      <c r="F1598">
        <v>2178</v>
      </c>
      <c r="G1598" s="1">
        <v>0.57120000000000004</v>
      </c>
      <c r="H1598">
        <v>3</v>
      </c>
      <c r="I1598">
        <v>3777</v>
      </c>
    </row>
    <row r="1599" spans="1:9" x14ac:dyDescent="0.35">
      <c r="A1599" t="s">
        <v>9</v>
      </c>
      <c r="B1599" t="s">
        <v>1511</v>
      </c>
      <c r="C1599" t="s">
        <v>1578</v>
      </c>
      <c r="D1599" t="str">
        <f>"200902"</f>
        <v>200902</v>
      </c>
      <c r="E1599">
        <v>2161</v>
      </c>
      <c r="F1599">
        <v>1256</v>
      </c>
      <c r="G1599" s="1">
        <v>0.58120000000000005</v>
      </c>
      <c r="H1599">
        <v>5</v>
      </c>
      <c r="I1599">
        <v>2079</v>
      </c>
    </row>
    <row r="1600" spans="1:9" x14ac:dyDescent="0.35">
      <c r="A1600" t="s">
        <v>9</v>
      </c>
      <c r="B1600" t="s">
        <v>1511</v>
      </c>
      <c r="C1600" t="s">
        <v>1579</v>
      </c>
      <c r="D1600" t="str">
        <f>"200903"</f>
        <v>200903</v>
      </c>
      <c r="E1600">
        <v>2857</v>
      </c>
      <c r="F1600">
        <v>1676</v>
      </c>
      <c r="G1600" s="1">
        <v>0.58660000000000001</v>
      </c>
      <c r="H1600">
        <v>4</v>
      </c>
      <c r="I1600">
        <v>2826</v>
      </c>
    </row>
    <row r="1601" spans="1:9" x14ac:dyDescent="0.35">
      <c r="A1601" t="s">
        <v>9</v>
      </c>
      <c r="B1601" t="s">
        <v>1511</v>
      </c>
      <c r="C1601" t="s">
        <v>1580</v>
      </c>
      <c r="D1601" t="str">
        <f>"200904"</f>
        <v>200904</v>
      </c>
      <c r="E1601">
        <v>3256</v>
      </c>
      <c r="F1601">
        <v>1612</v>
      </c>
      <c r="G1601" s="1">
        <v>0.49509999999999998</v>
      </c>
      <c r="H1601">
        <v>4</v>
      </c>
      <c r="I1601">
        <v>3244</v>
      </c>
    </row>
    <row r="1602" spans="1:9" x14ac:dyDescent="0.35">
      <c r="A1602" t="s">
        <v>9</v>
      </c>
      <c r="B1602" t="s">
        <v>1511</v>
      </c>
      <c r="C1602" t="s">
        <v>1581</v>
      </c>
      <c r="D1602" t="str">
        <f>"200905"</f>
        <v>200905</v>
      </c>
      <c r="E1602">
        <v>3076</v>
      </c>
      <c r="F1602">
        <v>1516</v>
      </c>
      <c r="G1602" s="1">
        <v>0.49280000000000002</v>
      </c>
      <c r="H1602">
        <v>5</v>
      </c>
      <c r="I1602">
        <v>3050</v>
      </c>
    </row>
    <row r="1603" spans="1:9" x14ac:dyDescent="0.35">
      <c r="A1603" t="s">
        <v>9</v>
      </c>
      <c r="B1603" t="s">
        <v>1511</v>
      </c>
      <c r="C1603" t="s">
        <v>1582</v>
      </c>
      <c r="D1603" t="str">
        <f>"201001"</f>
        <v>201001</v>
      </c>
      <c r="E1603">
        <v>10453</v>
      </c>
      <c r="F1603">
        <v>5883</v>
      </c>
      <c r="G1603" s="1">
        <v>0.56279999999999997</v>
      </c>
      <c r="H1603">
        <v>8</v>
      </c>
      <c r="I1603">
        <v>10132</v>
      </c>
    </row>
    <row r="1604" spans="1:9" x14ac:dyDescent="0.35">
      <c r="A1604" t="s">
        <v>9</v>
      </c>
      <c r="B1604" t="s">
        <v>1511</v>
      </c>
      <c r="C1604" t="s">
        <v>1583</v>
      </c>
      <c r="D1604" t="str">
        <f>"201002"</f>
        <v>201002</v>
      </c>
      <c r="E1604">
        <v>4784</v>
      </c>
      <c r="F1604">
        <v>2619</v>
      </c>
      <c r="G1604" s="1">
        <v>0.5474</v>
      </c>
      <c r="H1604">
        <v>5</v>
      </c>
      <c r="I1604">
        <v>4643</v>
      </c>
    </row>
    <row r="1605" spans="1:9" x14ac:dyDescent="0.35">
      <c r="A1605" t="s">
        <v>9</v>
      </c>
      <c r="B1605" t="s">
        <v>1511</v>
      </c>
      <c r="C1605" t="s">
        <v>1584</v>
      </c>
      <c r="D1605" t="str">
        <f>"201003"</f>
        <v>201003</v>
      </c>
      <c r="E1605">
        <v>2051</v>
      </c>
      <c r="F1605">
        <v>1051</v>
      </c>
      <c r="G1605" s="1">
        <v>0.51239999999999997</v>
      </c>
      <c r="H1605">
        <v>4</v>
      </c>
      <c r="I1605">
        <v>2033</v>
      </c>
    </row>
    <row r="1606" spans="1:9" x14ac:dyDescent="0.35">
      <c r="A1606" t="s">
        <v>9</v>
      </c>
      <c r="B1606" t="s">
        <v>1511</v>
      </c>
      <c r="C1606" t="s">
        <v>1585</v>
      </c>
      <c r="D1606" t="str">
        <f>"201004"</f>
        <v>201004</v>
      </c>
      <c r="E1606">
        <v>3107</v>
      </c>
      <c r="F1606">
        <v>1659</v>
      </c>
      <c r="G1606" s="1">
        <v>0.53400000000000003</v>
      </c>
      <c r="H1606">
        <v>5</v>
      </c>
      <c r="I1606">
        <v>3081</v>
      </c>
    </row>
    <row r="1607" spans="1:9" x14ac:dyDescent="0.35">
      <c r="A1607" t="s">
        <v>9</v>
      </c>
      <c r="B1607" t="s">
        <v>1511</v>
      </c>
      <c r="C1607" t="s">
        <v>1586</v>
      </c>
      <c r="D1607" t="str">
        <f>"201005"</f>
        <v>201005</v>
      </c>
      <c r="E1607">
        <v>1964</v>
      </c>
      <c r="F1607">
        <v>1121</v>
      </c>
      <c r="G1607" s="1">
        <v>0.57079999999999997</v>
      </c>
      <c r="H1607">
        <v>3</v>
      </c>
      <c r="I1607">
        <v>1911</v>
      </c>
    </row>
    <row r="1608" spans="1:9" x14ac:dyDescent="0.35">
      <c r="A1608" t="s">
        <v>9</v>
      </c>
      <c r="B1608" t="s">
        <v>1511</v>
      </c>
      <c r="C1608" t="s">
        <v>1587</v>
      </c>
      <c r="D1608" t="str">
        <f>"201006"</f>
        <v>201006</v>
      </c>
      <c r="E1608">
        <v>1405</v>
      </c>
      <c r="F1608">
        <v>763</v>
      </c>
      <c r="G1608" s="1">
        <v>0.54310000000000003</v>
      </c>
      <c r="H1608">
        <v>5</v>
      </c>
      <c r="I1608">
        <v>1389</v>
      </c>
    </row>
    <row r="1609" spans="1:9" x14ac:dyDescent="0.35">
      <c r="A1609" t="s">
        <v>9</v>
      </c>
      <c r="B1609" t="s">
        <v>1511</v>
      </c>
      <c r="C1609" t="s">
        <v>1588</v>
      </c>
      <c r="D1609" t="str">
        <f>"201007"</f>
        <v>201007</v>
      </c>
      <c r="E1609">
        <v>2900</v>
      </c>
      <c r="F1609">
        <v>1384</v>
      </c>
      <c r="G1609" s="1">
        <v>0.47720000000000001</v>
      </c>
      <c r="H1609">
        <v>4</v>
      </c>
      <c r="I1609">
        <v>2874</v>
      </c>
    </row>
    <row r="1610" spans="1:9" x14ac:dyDescent="0.35">
      <c r="A1610" t="s">
        <v>9</v>
      </c>
      <c r="B1610" t="s">
        <v>1511</v>
      </c>
      <c r="C1610" t="s">
        <v>1589</v>
      </c>
      <c r="D1610" t="str">
        <f>"201008"</f>
        <v>201008</v>
      </c>
      <c r="E1610">
        <v>2132</v>
      </c>
      <c r="F1610">
        <v>1192</v>
      </c>
      <c r="G1610" s="1">
        <v>0.55910000000000004</v>
      </c>
      <c r="H1610">
        <v>5</v>
      </c>
      <c r="I1610">
        <v>2092</v>
      </c>
    </row>
    <row r="1611" spans="1:9" x14ac:dyDescent="0.35">
      <c r="A1611" t="s">
        <v>9</v>
      </c>
      <c r="B1611" t="s">
        <v>1511</v>
      </c>
      <c r="C1611" t="s">
        <v>1590</v>
      </c>
      <c r="D1611" t="str">
        <f>"201009"</f>
        <v>201009</v>
      </c>
      <c r="E1611">
        <v>4511</v>
      </c>
      <c r="F1611">
        <v>2385</v>
      </c>
      <c r="G1611" s="1">
        <v>0.52869999999999995</v>
      </c>
      <c r="H1611">
        <v>12</v>
      </c>
      <c r="I1611">
        <v>4453</v>
      </c>
    </row>
    <row r="1612" spans="1:9" x14ac:dyDescent="0.35">
      <c r="A1612" t="s">
        <v>9</v>
      </c>
      <c r="B1612" t="s">
        <v>1511</v>
      </c>
      <c r="C1612" t="s">
        <v>1591</v>
      </c>
      <c r="D1612" t="str">
        <f>"201101"</f>
        <v>201101</v>
      </c>
      <c r="E1612">
        <v>8394</v>
      </c>
      <c r="F1612">
        <v>4411</v>
      </c>
      <c r="G1612" s="1">
        <v>0.52549999999999997</v>
      </c>
      <c r="H1612">
        <v>12</v>
      </c>
      <c r="I1612">
        <v>8308</v>
      </c>
    </row>
    <row r="1613" spans="1:9" x14ac:dyDescent="0.35">
      <c r="A1613" t="s">
        <v>9</v>
      </c>
      <c r="B1613" t="s">
        <v>1511</v>
      </c>
      <c r="C1613" t="s">
        <v>1592</v>
      </c>
      <c r="D1613" t="str">
        <f>"201102"</f>
        <v>201102</v>
      </c>
      <c r="E1613">
        <v>3139</v>
      </c>
      <c r="F1613">
        <v>1661</v>
      </c>
      <c r="G1613" s="1">
        <v>0.52910000000000001</v>
      </c>
      <c r="H1613">
        <v>4</v>
      </c>
      <c r="I1613">
        <v>3132</v>
      </c>
    </row>
    <row r="1614" spans="1:9" x14ac:dyDescent="0.35">
      <c r="A1614" t="s">
        <v>9</v>
      </c>
      <c r="B1614" t="s">
        <v>1511</v>
      </c>
      <c r="C1614" t="s">
        <v>1593</v>
      </c>
      <c r="D1614" t="str">
        <f>"201103"</f>
        <v>201103</v>
      </c>
      <c r="E1614">
        <v>2480</v>
      </c>
      <c r="F1614">
        <v>1306</v>
      </c>
      <c r="G1614" s="1">
        <v>0.52659999999999996</v>
      </c>
      <c r="H1614">
        <v>4</v>
      </c>
      <c r="I1614">
        <v>2471</v>
      </c>
    </row>
    <row r="1615" spans="1:9" x14ac:dyDescent="0.35">
      <c r="A1615" t="s">
        <v>9</v>
      </c>
      <c r="B1615" t="s">
        <v>1511</v>
      </c>
      <c r="C1615" t="s">
        <v>1594</v>
      </c>
      <c r="D1615" t="str">
        <f>"201104"</f>
        <v>201104</v>
      </c>
      <c r="E1615">
        <v>2446</v>
      </c>
      <c r="F1615">
        <v>1452</v>
      </c>
      <c r="G1615" s="1">
        <v>0.59360000000000002</v>
      </c>
      <c r="H1615">
        <v>4</v>
      </c>
      <c r="I1615">
        <v>2390</v>
      </c>
    </row>
    <row r="1616" spans="1:9" x14ac:dyDescent="0.35">
      <c r="A1616" t="s">
        <v>9</v>
      </c>
      <c r="B1616" t="s">
        <v>1511</v>
      </c>
      <c r="C1616" t="s">
        <v>1595</v>
      </c>
      <c r="D1616" t="str">
        <f>"201105"</f>
        <v>201105</v>
      </c>
      <c r="E1616">
        <v>2968</v>
      </c>
      <c r="F1616">
        <v>1692</v>
      </c>
      <c r="G1616" s="1">
        <v>0.57010000000000005</v>
      </c>
      <c r="H1616">
        <v>5</v>
      </c>
      <c r="I1616">
        <v>2952</v>
      </c>
    </row>
    <row r="1617" spans="1:9" x14ac:dyDescent="0.35">
      <c r="A1617" t="s">
        <v>9</v>
      </c>
      <c r="B1617" t="s">
        <v>1511</v>
      </c>
      <c r="C1617" t="s">
        <v>1596</v>
      </c>
      <c r="D1617" t="str">
        <f>"201106"</f>
        <v>201106</v>
      </c>
      <c r="E1617">
        <v>1989</v>
      </c>
      <c r="F1617">
        <v>1093</v>
      </c>
      <c r="G1617" s="1">
        <v>0.54949999999999999</v>
      </c>
      <c r="H1617">
        <v>4</v>
      </c>
      <c r="I1617">
        <v>1973</v>
      </c>
    </row>
    <row r="1618" spans="1:9" x14ac:dyDescent="0.35">
      <c r="A1618" t="s">
        <v>9</v>
      </c>
      <c r="B1618" t="s">
        <v>1511</v>
      </c>
      <c r="C1618" t="s">
        <v>1597</v>
      </c>
      <c r="D1618" t="str">
        <f>"201107"</f>
        <v>201107</v>
      </c>
      <c r="E1618">
        <v>2596</v>
      </c>
      <c r="F1618">
        <v>1391</v>
      </c>
      <c r="G1618" s="1">
        <v>0.53580000000000005</v>
      </c>
      <c r="H1618">
        <v>6</v>
      </c>
      <c r="I1618">
        <v>2585</v>
      </c>
    </row>
    <row r="1619" spans="1:9" x14ac:dyDescent="0.35">
      <c r="A1619" t="s">
        <v>9</v>
      </c>
      <c r="B1619" t="s">
        <v>1511</v>
      </c>
      <c r="C1619" t="s">
        <v>1598</v>
      </c>
      <c r="D1619" t="str">
        <f>"201108"</f>
        <v>201108</v>
      </c>
      <c r="E1619">
        <v>18472</v>
      </c>
      <c r="F1619">
        <v>10612</v>
      </c>
      <c r="G1619" s="1">
        <v>0.57450000000000001</v>
      </c>
      <c r="H1619">
        <v>18</v>
      </c>
      <c r="I1619">
        <v>18281</v>
      </c>
    </row>
    <row r="1620" spans="1:9" x14ac:dyDescent="0.35">
      <c r="A1620" t="s">
        <v>9</v>
      </c>
      <c r="B1620" t="s">
        <v>1511</v>
      </c>
      <c r="C1620" t="s">
        <v>1599</v>
      </c>
      <c r="D1620" t="str">
        <f>"201109"</f>
        <v>201109</v>
      </c>
      <c r="E1620">
        <v>5202</v>
      </c>
      <c r="F1620">
        <v>2850</v>
      </c>
      <c r="G1620" s="1">
        <v>0.54790000000000005</v>
      </c>
      <c r="H1620">
        <v>10</v>
      </c>
      <c r="I1620">
        <v>5148</v>
      </c>
    </row>
    <row r="1621" spans="1:9" x14ac:dyDescent="0.35">
      <c r="A1621" t="s">
        <v>9</v>
      </c>
      <c r="B1621" t="s">
        <v>1511</v>
      </c>
      <c r="C1621" t="s">
        <v>1600</v>
      </c>
      <c r="D1621" t="str">
        <f>"201110"</f>
        <v>201110</v>
      </c>
      <c r="E1621">
        <v>2319</v>
      </c>
      <c r="F1621">
        <v>1303</v>
      </c>
      <c r="G1621" s="1">
        <v>0.56189999999999996</v>
      </c>
      <c r="H1621">
        <v>4</v>
      </c>
      <c r="I1621">
        <v>2267</v>
      </c>
    </row>
    <row r="1622" spans="1:9" x14ac:dyDescent="0.35">
      <c r="A1622" t="s">
        <v>9</v>
      </c>
      <c r="B1622" t="s">
        <v>1511</v>
      </c>
      <c r="C1622" t="s">
        <v>1601</v>
      </c>
      <c r="D1622" t="str">
        <f>"201201"</f>
        <v>201201</v>
      </c>
      <c r="E1622">
        <v>2307</v>
      </c>
      <c r="F1622">
        <v>1214</v>
      </c>
      <c r="G1622" s="1">
        <v>0.5262</v>
      </c>
      <c r="H1622">
        <v>4</v>
      </c>
      <c r="I1622">
        <v>2263</v>
      </c>
    </row>
    <row r="1623" spans="1:9" x14ac:dyDescent="0.35">
      <c r="A1623" t="s">
        <v>9</v>
      </c>
      <c r="B1623" t="s">
        <v>1511</v>
      </c>
      <c r="C1623" t="s">
        <v>1602</v>
      </c>
      <c r="D1623" t="str">
        <f>"201202"</f>
        <v>201202</v>
      </c>
      <c r="E1623">
        <v>3238</v>
      </c>
      <c r="F1623">
        <v>1588</v>
      </c>
      <c r="G1623" s="1">
        <v>0.4904</v>
      </c>
      <c r="H1623">
        <v>3</v>
      </c>
      <c r="I1623">
        <v>3220</v>
      </c>
    </row>
    <row r="1624" spans="1:9" x14ac:dyDescent="0.35">
      <c r="A1624" t="s">
        <v>9</v>
      </c>
      <c r="B1624" t="s">
        <v>1511</v>
      </c>
      <c r="C1624" t="s">
        <v>1603</v>
      </c>
      <c r="D1624" t="str">
        <f>"201203"</f>
        <v>201203</v>
      </c>
      <c r="E1624">
        <v>2366</v>
      </c>
      <c r="F1624">
        <v>1418</v>
      </c>
      <c r="G1624" s="1">
        <v>0.59930000000000005</v>
      </c>
      <c r="H1624">
        <v>4</v>
      </c>
      <c r="I1624">
        <v>2356</v>
      </c>
    </row>
    <row r="1625" spans="1:9" x14ac:dyDescent="0.35">
      <c r="A1625" t="s">
        <v>9</v>
      </c>
      <c r="B1625" t="s">
        <v>1511</v>
      </c>
      <c r="C1625" t="s">
        <v>1604</v>
      </c>
      <c r="D1625" t="str">
        <f>"201204"</f>
        <v>201204</v>
      </c>
      <c r="E1625">
        <v>2136</v>
      </c>
      <c r="F1625">
        <v>1179</v>
      </c>
      <c r="G1625" s="1">
        <v>0.55200000000000005</v>
      </c>
      <c r="H1625">
        <v>3</v>
      </c>
      <c r="I1625">
        <v>2129</v>
      </c>
    </row>
    <row r="1626" spans="1:9" x14ac:dyDescent="0.35">
      <c r="A1626" t="s">
        <v>9</v>
      </c>
      <c r="B1626" t="s">
        <v>1511</v>
      </c>
      <c r="C1626" t="s">
        <v>1605</v>
      </c>
      <c r="D1626" t="str">
        <f>"201205"</f>
        <v>201205</v>
      </c>
      <c r="E1626">
        <v>4377</v>
      </c>
      <c r="F1626">
        <v>2423</v>
      </c>
      <c r="G1626" s="1">
        <v>0.55359999999999998</v>
      </c>
      <c r="H1626">
        <v>7</v>
      </c>
      <c r="I1626">
        <v>4361</v>
      </c>
    </row>
    <row r="1627" spans="1:9" x14ac:dyDescent="0.35">
      <c r="A1627" t="s">
        <v>9</v>
      </c>
      <c r="B1627" t="s">
        <v>1511</v>
      </c>
      <c r="C1627" t="s">
        <v>1606</v>
      </c>
      <c r="D1627" t="str">
        <f>"201206"</f>
        <v>201206</v>
      </c>
      <c r="E1627">
        <v>1833</v>
      </c>
      <c r="F1627">
        <v>1030</v>
      </c>
      <c r="G1627" s="1">
        <v>0.56189999999999996</v>
      </c>
      <c r="H1627">
        <v>3</v>
      </c>
      <c r="I1627">
        <v>1814</v>
      </c>
    </row>
    <row r="1628" spans="1:9" x14ac:dyDescent="0.35">
      <c r="A1628" t="s">
        <v>9</v>
      </c>
      <c r="B1628" t="s">
        <v>1511</v>
      </c>
      <c r="C1628" t="s">
        <v>1607</v>
      </c>
      <c r="D1628" t="str">
        <f>"201207"</f>
        <v>201207</v>
      </c>
      <c r="E1628">
        <v>5994</v>
      </c>
      <c r="F1628">
        <v>3711</v>
      </c>
      <c r="G1628" s="1">
        <v>0.61909999999999998</v>
      </c>
      <c r="H1628">
        <v>11</v>
      </c>
      <c r="I1628">
        <v>5901</v>
      </c>
    </row>
    <row r="1629" spans="1:9" x14ac:dyDescent="0.35">
      <c r="A1629" t="s">
        <v>9</v>
      </c>
      <c r="B1629" t="s">
        <v>1511</v>
      </c>
      <c r="C1629" t="s">
        <v>1608</v>
      </c>
      <c r="D1629" t="str">
        <f>"201208"</f>
        <v>201208</v>
      </c>
      <c r="E1629">
        <v>3060</v>
      </c>
      <c r="F1629">
        <v>1613</v>
      </c>
      <c r="G1629" s="1">
        <v>0.52710000000000001</v>
      </c>
      <c r="H1629">
        <v>4</v>
      </c>
      <c r="I1629">
        <v>3042</v>
      </c>
    </row>
    <row r="1630" spans="1:9" x14ac:dyDescent="0.35">
      <c r="A1630" t="s">
        <v>9</v>
      </c>
      <c r="B1630" t="s">
        <v>1511</v>
      </c>
      <c r="C1630" t="s">
        <v>1609</v>
      </c>
      <c r="D1630" t="str">
        <f>"201209"</f>
        <v>201209</v>
      </c>
      <c r="E1630">
        <v>1749</v>
      </c>
      <c r="F1630">
        <v>1080</v>
      </c>
      <c r="G1630" s="1">
        <v>0.61750000000000005</v>
      </c>
      <c r="H1630">
        <v>3</v>
      </c>
      <c r="I1630">
        <v>1734</v>
      </c>
    </row>
    <row r="1631" spans="1:9" x14ac:dyDescent="0.35">
      <c r="A1631" t="s">
        <v>9</v>
      </c>
      <c r="B1631" t="s">
        <v>1511</v>
      </c>
      <c r="C1631" t="s">
        <v>1610</v>
      </c>
      <c r="D1631" t="str">
        <f>"201301"</f>
        <v>201301</v>
      </c>
      <c r="E1631">
        <v>6858</v>
      </c>
      <c r="F1631">
        <v>3829</v>
      </c>
      <c r="G1631" s="1">
        <v>0.55830000000000002</v>
      </c>
      <c r="H1631">
        <v>5</v>
      </c>
      <c r="I1631">
        <v>6822</v>
      </c>
    </row>
    <row r="1632" spans="1:9" x14ac:dyDescent="0.35">
      <c r="A1632" t="s">
        <v>9</v>
      </c>
      <c r="B1632" t="s">
        <v>1511</v>
      </c>
      <c r="C1632" t="s">
        <v>1611</v>
      </c>
      <c r="D1632" t="str">
        <f>"201302"</f>
        <v>201302</v>
      </c>
      <c r="E1632">
        <v>6442</v>
      </c>
      <c r="F1632">
        <v>3549</v>
      </c>
      <c r="G1632" s="1">
        <v>0.55089999999999995</v>
      </c>
      <c r="H1632">
        <v>15</v>
      </c>
      <c r="I1632">
        <v>6346</v>
      </c>
    </row>
    <row r="1633" spans="1:9" x14ac:dyDescent="0.35">
      <c r="A1633" t="s">
        <v>9</v>
      </c>
      <c r="B1633" t="s">
        <v>1511</v>
      </c>
      <c r="C1633" t="s">
        <v>1612</v>
      </c>
      <c r="D1633" t="str">
        <f>"201303"</f>
        <v>201303</v>
      </c>
      <c r="E1633">
        <v>4785</v>
      </c>
      <c r="F1633">
        <v>2881</v>
      </c>
      <c r="G1633" s="1">
        <v>0.60209999999999997</v>
      </c>
      <c r="H1633">
        <v>7</v>
      </c>
      <c r="I1633">
        <v>4768</v>
      </c>
    </row>
    <row r="1634" spans="1:9" x14ac:dyDescent="0.35">
      <c r="A1634" t="s">
        <v>9</v>
      </c>
      <c r="B1634" t="s">
        <v>1511</v>
      </c>
      <c r="C1634" t="s">
        <v>1613</v>
      </c>
      <c r="D1634" t="str">
        <f>"201304"</f>
        <v>201304</v>
      </c>
      <c r="E1634">
        <v>3242</v>
      </c>
      <c r="F1634">
        <v>2022</v>
      </c>
      <c r="G1634" s="1">
        <v>0.62370000000000003</v>
      </c>
      <c r="H1634">
        <v>3</v>
      </c>
      <c r="I1634">
        <v>3234</v>
      </c>
    </row>
    <row r="1635" spans="1:9" x14ac:dyDescent="0.35">
      <c r="A1635" t="s">
        <v>9</v>
      </c>
      <c r="B1635" t="s">
        <v>1511</v>
      </c>
      <c r="C1635" t="s">
        <v>1614</v>
      </c>
      <c r="D1635" t="str">
        <f>"201305"</f>
        <v>201305</v>
      </c>
      <c r="E1635">
        <v>2457</v>
      </c>
      <c r="F1635">
        <v>1447</v>
      </c>
      <c r="G1635" s="1">
        <v>0.58889999999999998</v>
      </c>
      <c r="H1635">
        <v>5</v>
      </c>
      <c r="I1635">
        <v>2449</v>
      </c>
    </row>
    <row r="1636" spans="1:9" x14ac:dyDescent="0.35">
      <c r="A1636" t="s">
        <v>9</v>
      </c>
      <c r="B1636" t="s">
        <v>1511</v>
      </c>
      <c r="C1636" t="s">
        <v>1615</v>
      </c>
      <c r="D1636" t="str">
        <f>"201306"</f>
        <v>201306</v>
      </c>
      <c r="E1636">
        <v>2308</v>
      </c>
      <c r="F1636">
        <v>1382</v>
      </c>
      <c r="G1636" s="1">
        <v>0.5988</v>
      </c>
      <c r="H1636">
        <v>4</v>
      </c>
      <c r="I1636">
        <v>2303</v>
      </c>
    </row>
    <row r="1637" spans="1:9" x14ac:dyDescent="0.35">
      <c r="A1637" t="s">
        <v>9</v>
      </c>
      <c r="B1637" t="s">
        <v>1511</v>
      </c>
      <c r="C1637" t="s">
        <v>1616</v>
      </c>
      <c r="D1637" t="str">
        <f>"201307"</f>
        <v>201307</v>
      </c>
      <c r="E1637">
        <v>2897</v>
      </c>
      <c r="F1637">
        <v>1746</v>
      </c>
      <c r="G1637" s="1">
        <v>0.60270000000000001</v>
      </c>
      <c r="H1637">
        <v>3</v>
      </c>
      <c r="I1637">
        <v>2877</v>
      </c>
    </row>
    <row r="1638" spans="1:9" x14ac:dyDescent="0.35">
      <c r="A1638" t="s">
        <v>9</v>
      </c>
      <c r="B1638" t="s">
        <v>1511</v>
      </c>
      <c r="C1638" t="s">
        <v>1617</v>
      </c>
      <c r="D1638" t="str">
        <f>"201308"</f>
        <v>201308</v>
      </c>
      <c r="E1638">
        <v>4180</v>
      </c>
      <c r="F1638">
        <v>2438</v>
      </c>
      <c r="G1638" s="1">
        <v>0.58330000000000004</v>
      </c>
      <c r="H1638">
        <v>4</v>
      </c>
      <c r="I1638">
        <v>4173</v>
      </c>
    </row>
    <row r="1639" spans="1:9" x14ac:dyDescent="0.35">
      <c r="A1639" t="s">
        <v>9</v>
      </c>
      <c r="B1639" t="s">
        <v>1511</v>
      </c>
      <c r="C1639" t="s">
        <v>1618</v>
      </c>
      <c r="D1639" t="str">
        <f>"201309"</f>
        <v>201309</v>
      </c>
      <c r="E1639">
        <v>5217</v>
      </c>
      <c r="F1639">
        <v>3095</v>
      </c>
      <c r="G1639" s="1">
        <v>0.59330000000000005</v>
      </c>
      <c r="H1639">
        <v>7</v>
      </c>
      <c r="I1639">
        <v>5101</v>
      </c>
    </row>
    <row r="1640" spans="1:9" x14ac:dyDescent="0.35">
      <c r="A1640" t="s">
        <v>9</v>
      </c>
      <c r="B1640" t="s">
        <v>1511</v>
      </c>
      <c r="C1640" t="s">
        <v>1619</v>
      </c>
      <c r="D1640" t="str">
        <f>"201310"</f>
        <v>201310</v>
      </c>
      <c r="E1640">
        <v>4069</v>
      </c>
      <c r="F1640">
        <v>2392</v>
      </c>
      <c r="G1640" s="1">
        <v>0.58789999999999998</v>
      </c>
      <c r="H1640">
        <v>10</v>
      </c>
      <c r="I1640">
        <v>4043</v>
      </c>
    </row>
    <row r="1641" spans="1:9" x14ac:dyDescent="0.35">
      <c r="A1641" t="s">
        <v>9</v>
      </c>
      <c r="B1641" t="s">
        <v>1511</v>
      </c>
      <c r="C1641" t="s">
        <v>1620</v>
      </c>
      <c r="D1641" t="str">
        <f>"201401"</f>
        <v>201401</v>
      </c>
      <c r="E1641">
        <v>15826</v>
      </c>
      <c r="F1641">
        <v>8342</v>
      </c>
      <c r="G1641" s="1">
        <v>0.52710000000000001</v>
      </c>
      <c r="H1641">
        <v>13</v>
      </c>
      <c r="I1641">
        <v>15751</v>
      </c>
    </row>
    <row r="1642" spans="1:9" x14ac:dyDescent="0.35">
      <c r="A1642" t="s">
        <v>9</v>
      </c>
      <c r="B1642" t="s">
        <v>1511</v>
      </c>
      <c r="C1642" t="s">
        <v>1621</v>
      </c>
      <c r="D1642" t="str">
        <f>"201402"</f>
        <v>201402</v>
      </c>
      <c r="E1642">
        <v>1761</v>
      </c>
      <c r="F1642">
        <v>1129</v>
      </c>
      <c r="G1642" s="1">
        <v>0.6411</v>
      </c>
      <c r="H1642">
        <v>3</v>
      </c>
      <c r="I1642">
        <v>1758</v>
      </c>
    </row>
    <row r="1643" spans="1:9" x14ac:dyDescent="0.35">
      <c r="A1643" t="s">
        <v>9</v>
      </c>
      <c r="B1643" t="s">
        <v>1511</v>
      </c>
      <c r="C1643" t="s">
        <v>1622</v>
      </c>
      <c r="D1643" t="str">
        <f>"201403"</f>
        <v>201403</v>
      </c>
      <c r="E1643">
        <v>4096</v>
      </c>
      <c r="F1643">
        <v>2242</v>
      </c>
      <c r="G1643" s="1">
        <v>0.5474</v>
      </c>
      <c r="H1643">
        <v>7</v>
      </c>
      <c r="I1643">
        <v>4075</v>
      </c>
    </row>
    <row r="1644" spans="1:9" x14ac:dyDescent="0.35">
      <c r="A1644" t="s">
        <v>9</v>
      </c>
      <c r="B1644" t="s">
        <v>1511</v>
      </c>
      <c r="C1644" t="s">
        <v>1623</v>
      </c>
      <c r="D1644" t="str">
        <f>"201404"</f>
        <v>201404</v>
      </c>
      <c r="E1644">
        <v>3641</v>
      </c>
      <c r="F1644">
        <v>2028</v>
      </c>
      <c r="G1644" s="1">
        <v>0.55700000000000005</v>
      </c>
      <c r="H1644">
        <v>10</v>
      </c>
      <c r="I1644">
        <v>3599</v>
      </c>
    </row>
    <row r="1645" spans="1:9" x14ac:dyDescent="0.35">
      <c r="A1645" t="s">
        <v>9</v>
      </c>
      <c r="B1645" t="s">
        <v>1511</v>
      </c>
      <c r="C1645" t="s">
        <v>1624</v>
      </c>
      <c r="D1645" t="str">
        <f>"201405"</f>
        <v>201405</v>
      </c>
      <c r="E1645">
        <v>6667</v>
      </c>
      <c r="F1645">
        <v>3790</v>
      </c>
      <c r="G1645" s="1">
        <v>0.56850000000000001</v>
      </c>
      <c r="H1645">
        <v>13</v>
      </c>
      <c r="I1645">
        <v>6645</v>
      </c>
    </row>
    <row r="1646" spans="1:9" x14ac:dyDescent="0.35">
      <c r="A1646" t="s">
        <v>9</v>
      </c>
      <c r="B1646" t="s">
        <v>1511</v>
      </c>
      <c r="C1646" t="s">
        <v>1625</v>
      </c>
      <c r="D1646" t="str">
        <f>"206101"</f>
        <v>206101</v>
      </c>
      <c r="E1646">
        <v>211662</v>
      </c>
      <c r="F1646">
        <v>132595</v>
      </c>
      <c r="G1646" s="1">
        <v>0.62639999999999996</v>
      </c>
      <c r="H1646">
        <v>170</v>
      </c>
      <c r="I1646">
        <v>209906</v>
      </c>
    </row>
    <row r="1647" spans="1:9" x14ac:dyDescent="0.35">
      <c r="A1647" t="s">
        <v>9</v>
      </c>
      <c r="B1647" t="s">
        <v>1511</v>
      </c>
      <c r="C1647" t="s">
        <v>1626</v>
      </c>
      <c r="D1647" t="str">
        <f>"206201"</f>
        <v>206201</v>
      </c>
      <c r="E1647">
        <v>43631</v>
      </c>
      <c r="F1647">
        <v>24743</v>
      </c>
      <c r="G1647" s="1">
        <v>0.56710000000000005</v>
      </c>
      <c r="H1647">
        <v>31</v>
      </c>
      <c r="I1647">
        <v>43303</v>
      </c>
    </row>
    <row r="1648" spans="1:9" x14ac:dyDescent="0.35">
      <c r="A1648" t="s">
        <v>9</v>
      </c>
      <c r="B1648" t="s">
        <v>1511</v>
      </c>
      <c r="C1648" t="s">
        <v>1627</v>
      </c>
      <c r="D1648" t="str">
        <f>"206301"</f>
        <v>206301</v>
      </c>
      <c r="E1648">
        <v>48879</v>
      </c>
      <c r="F1648">
        <v>27320</v>
      </c>
      <c r="G1648" s="1">
        <v>0.55889999999999995</v>
      </c>
      <c r="H1648">
        <v>34</v>
      </c>
      <c r="I1648">
        <v>48433</v>
      </c>
    </row>
    <row r="1649" spans="1:9" x14ac:dyDescent="0.35">
      <c r="A1649" t="s">
        <v>9</v>
      </c>
      <c r="B1649" t="s">
        <v>1628</v>
      </c>
      <c r="C1649" t="s">
        <v>1629</v>
      </c>
      <c r="D1649" t="str">
        <f>"220101"</f>
        <v>220101</v>
      </c>
      <c r="E1649">
        <v>2500</v>
      </c>
      <c r="F1649">
        <v>1394</v>
      </c>
      <c r="G1649" s="1">
        <v>0.55759999999999998</v>
      </c>
      <c r="H1649">
        <v>7</v>
      </c>
      <c r="I1649">
        <v>2494</v>
      </c>
    </row>
    <row r="1650" spans="1:9" x14ac:dyDescent="0.35">
      <c r="A1650" t="s">
        <v>9</v>
      </c>
      <c r="B1650" t="s">
        <v>1628</v>
      </c>
      <c r="C1650" t="s">
        <v>1630</v>
      </c>
      <c r="D1650" t="str">
        <f>"220102"</f>
        <v>220102</v>
      </c>
      <c r="E1650">
        <v>18002</v>
      </c>
      <c r="F1650">
        <v>9644</v>
      </c>
      <c r="G1650" s="1">
        <v>0.53569999999999995</v>
      </c>
      <c r="H1650">
        <v>22</v>
      </c>
      <c r="I1650">
        <v>17853</v>
      </c>
    </row>
    <row r="1651" spans="1:9" x14ac:dyDescent="0.35">
      <c r="A1651" t="s">
        <v>9</v>
      </c>
      <c r="B1651" t="s">
        <v>1628</v>
      </c>
      <c r="C1651" t="s">
        <v>1631</v>
      </c>
      <c r="D1651" t="str">
        <f>"220103"</f>
        <v>220103</v>
      </c>
      <c r="E1651">
        <v>4261</v>
      </c>
      <c r="F1651">
        <v>2436</v>
      </c>
      <c r="G1651" s="1">
        <v>0.57169999999999999</v>
      </c>
      <c r="H1651">
        <v>11</v>
      </c>
      <c r="I1651">
        <v>4209</v>
      </c>
    </row>
    <row r="1652" spans="1:9" x14ac:dyDescent="0.35">
      <c r="A1652" t="s">
        <v>9</v>
      </c>
      <c r="B1652" t="s">
        <v>1628</v>
      </c>
      <c r="C1652" t="s">
        <v>1632</v>
      </c>
      <c r="D1652" t="str">
        <f>"220104"</f>
        <v>220104</v>
      </c>
      <c r="E1652">
        <v>3154</v>
      </c>
      <c r="F1652">
        <v>1535</v>
      </c>
      <c r="G1652" s="1">
        <v>0.48670000000000002</v>
      </c>
      <c r="H1652">
        <v>7</v>
      </c>
      <c r="I1652">
        <v>3138</v>
      </c>
    </row>
    <row r="1653" spans="1:9" x14ac:dyDescent="0.35">
      <c r="A1653" t="s">
        <v>9</v>
      </c>
      <c r="B1653" t="s">
        <v>1628</v>
      </c>
      <c r="C1653" t="s">
        <v>1633</v>
      </c>
      <c r="D1653" t="str">
        <f>"220105"</f>
        <v>220105</v>
      </c>
      <c r="E1653">
        <v>3988</v>
      </c>
      <c r="F1653">
        <v>2254</v>
      </c>
      <c r="G1653" s="1">
        <v>0.56520000000000004</v>
      </c>
      <c r="H1653">
        <v>7</v>
      </c>
      <c r="I1653">
        <v>3941</v>
      </c>
    </row>
    <row r="1654" spans="1:9" x14ac:dyDescent="0.35">
      <c r="A1654" t="s">
        <v>9</v>
      </c>
      <c r="B1654" t="s">
        <v>1628</v>
      </c>
      <c r="C1654" t="s">
        <v>1634</v>
      </c>
      <c r="D1654" t="str">
        <f>"220106"</f>
        <v>220106</v>
      </c>
      <c r="E1654">
        <v>13649</v>
      </c>
      <c r="F1654">
        <v>6947</v>
      </c>
      <c r="G1654" s="1">
        <v>0.50900000000000001</v>
      </c>
      <c r="H1654">
        <v>20</v>
      </c>
      <c r="I1654">
        <v>13582</v>
      </c>
    </row>
    <row r="1655" spans="1:9" x14ac:dyDescent="0.35">
      <c r="A1655" t="s">
        <v>9</v>
      </c>
      <c r="B1655" t="s">
        <v>1628</v>
      </c>
      <c r="C1655" t="s">
        <v>1635</v>
      </c>
      <c r="D1655" t="str">
        <f>"220107"</f>
        <v>220107</v>
      </c>
      <c r="E1655">
        <v>2813</v>
      </c>
      <c r="F1655">
        <v>1737</v>
      </c>
      <c r="G1655" s="1">
        <v>0.61750000000000005</v>
      </c>
      <c r="H1655">
        <v>7</v>
      </c>
      <c r="I1655">
        <v>2787</v>
      </c>
    </row>
    <row r="1656" spans="1:9" x14ac:dyDescent="0.35">
      <c r="A1656" t="s">
        <v>9</v>
      </c>
      <c r="B1656" t="s">
        <v>1628</v>
      </c>
      <c r="C1656" t="s">
        <v>1636</v>
      </c>
      <c r="D1656" t="str">
        <f>"220108"</f>
        <v>220108</v>
      </c>
      <c r="E1656">
        <v>2811</v>
      </c>
      <c r="F1656">
        <v>1637</v>
      </c>
      <c r="G1656" s="1">
        <v>0.58240000000000003</v>
      </c>
      <c r="H1656">
        <v>5</v>
      </c>
      <c r="I1656">
        <v>2753</v>
      </c>
    </row>
    <row r="1657" spans="1:9" x14ac:dyDescent="0.35">
      <c r="A1657" t="s">
        <v>9</v>
      </c>
      <c r="B1657" t="s">
        <v>1628</v>
      </c>
      <c r="C1657" t="s">
        <v>1637</v>
      </c>
      <c r="D1657" t="str">
        <f>"220109"</f>
        <v>220109</v>
      </c>
      <c r="E1657">
        <v>2650</v>
      </c>
      <c r="F1657">
        <v>1300</v>
      </c>
      <c r="G1657" s="1">
        <v>0.49059999999999998</v>
      </c>
      <c r="H1657">
        <v>5</v>
      </c>
      <c r="I1657">
        <v>2631</v>
      </c>
    </row>
    <row r="1658" spans="1:9" x14ac:dyDescent="0.35">
      <c r="A1658" t="s">
        <v>9</v>
      </c>
      <c r="B1658" t="s">
        <v>1628</v>
      </c>
      <c r="C1658" t="s">
        <v>1638</v>
      </c>
      <c r="D1658" t="str">
        <f>"220110"</f>
        <v>220110</v>
      </c>
      <c r="E1658">
        <v>3208</v>
      </c>
      <c r="F1658">
        <v>1640</v>
      </c>
      <c r="G1658" s="1">
        <v>0.51119999999999999</v>
      </c>
      <c r="H1658">
        <v>8</v>
      </c>
      <c r="I1658">
        <v>3193</v>
      </c>
    </row>
    <row r="1659" spans="1:9" x14ac:dyDescent="0.35">
      <c r="A1659" t="s">
        <v>9</v>
      </c>
      <c r="B1659" t="s">
        <v>1628</v>
      </c>
      <c r="C1659" t="s">
        <v>1639</v>
      </c>
      <c r="D1659" t="str">
        <f>"220201"</f>
        <v>220201</v>
      </c>
      <c r="E1659">
        <v>28110</v>
      </c>
      <c r="F1659">
        <v>16354</v>
      </c>
      <c r="G1659" s="1">
        <v>0.58179999999999998</v>
      </c>
      <c r="H1659">
        <v>21</v>
      </c>
      <c r="I1659">
        <v>27856</v>
      </c>
    </row>
    <row r="1660" spans="1:9" x14ac:dyDescent="0.35">
      <c r="A1660" t="s">
        <v>9</v>
      </c>
      <c r="B1660" t="s">
        <v>1628</v>
      </c>
      <c r="C1660" t="s">
        <v>1640</v>
      </c>
      <c r="D1660" t="str">
        <f>"220202"</f>
        <v>220202</v>
      </c>
      <c r="E1660">
        <v>10489</v>
      </c>
      <c r="F1660">
        <v>6419</v>
      </c>
      <c r="G1660" s="1">
        <v>0.61199999999999999</v>
      </c>
      <c r="H1660">
        <v>17</v>
      </c>
      <c r="I1660">
        <v>10403</v>
      </c>
    </row>
    <row r="1661" spans="1:9" x14ac:dyDescent="0.35">
      <c r="A1661" t="s">
        <v>9</v>
      </c>
      <c r="B1661" t="s">
        <v>1628</v>
      </c>
      <c r="C1661" t="s">
        <v>1641</v>
      </c>
      <c r="D1661" t="str">
        <f>"220203"</f>
        <v>220203</v>
      </c>
      <c r="E1661">
        <v>14305</v>
      </c>
      <c r="F1661">
        <v>8250</v>
      </c>
      <c r="G1661" s="1">
        <v>0.57669999999999999</v>
      </c>
      <c r="H1661">
        <v>21</v>
      </c>
      <c r="I1661">
        <v>14151</v>
      </c>
    </row>
    <row r="1662" spans="1:9" x14ac:dyDescent="0.35">
      <c r="A1662" t="s">
        <v>9</v>
      </c>
      <c r="B1662" t="s">
        <v>1628</v>
      </c>
      <c r="C1662" t="s">
        <v>1642</v>
      </c>
      <c r="D1662" t="str">
        <f>"220204"</f>
        <v>220204</v>
      </c>
      <c r="E1662">
        <v>15940</v>
      </c>
      <c r="F1662">
        <v>8734</v>
      </c>
      <c r="G1662" s="1">
        <v>0.54790000000000005</v>
      </c>
      <c r="H1662">
        <v>20</v>
      </c>
      <c r="I1662">
        <v>15847</v>
      </c>
    </row>
    <row r="1663" spans="1:9" x14ac:dyDescent="0.35">
      <c r="A1663" t="s">
        <v>9</v>
      </c>
      <c r="B1663" t="s">
        <v>1628</v>
      </c>
      <c r="C1663" t="s">
        <v>1643</v>
      </c>
      <c r="D1663" t="str">
        <f>"220205"</f>
        <v>220205</v>
      </c>
      <c r="E1663">
        <v>1696</v>
      </c>
      <c r="F1663">
        <v>921</v>
      </c>
      <c r="G1663" s="1">
        <v>0.54300000000000004</v>
      </c>
      <c r="H1663">
        <v>2</v>
      </c>
      <c r="I1663">
        <v>1676</v>
      </c>
    </row>
    <row r="1664" spans="1:9" x14ac:dyDescent="0.35">
      <c r="A1664" t="s">
        <v>9</v>
      </c>
      <c r="B1664" t="s">
        <v>1628</v>
      </c>
      <c r="C1664" t="s">
        <v>1644</v>
      </c>
      <c r="D1664" t="str">
        <f>"220301"</f>
        <v>220301</v>
      </c>
      <c r="E1664">
        <v>9786</v>
      </c>
      <c r="F1664">
        <v>5355</v>
      </c>
      <c r="G1664" s="1">
        <v>0.54720000000000002</v>
      </c>
      <c r="H1664">
        <v>8</v>
      </c>
      <c r="I1664">
        <v>9678</v>
      </c>
    </row>
    <row r="1665" spans="1:9" x14ac:dyDescent="0.35">
      <c r="A1665" t="s">
        <v>9</v>
      </c>
      <c r="B1665" t="s">
        <v>1628</v>
      </c>
      <c r="C1665" t="s">
        <v>1645</v>
      </c>
      <c r="D1665" t="str">
        <f>"220302"</f>
        <v>220302</v>
      </c>
      <c r="E1665">
        <v>6202</v>
      </c>
      <c r="F1665">
        <v>3224</v>
      </c>
      <c r="G1665" s="1">
        <v>0.51980000000000004</v>
      </c>
      <c r="H1665">
        <v>8</v>
      </c>
      <c r="I1665">
        <v>6158</v>
      </c>
    </row>
    <row r="1666" spans="1:9" x14ac:dyDescent="0.35">
      <c r="A1666" t="s">
        <v>9</v>
      </c>
      <c r="B1666" t="s">
        <v>1628</v>
      </c>
      <c r="C1666" t="s">
        <v>1646</v>
      </c>
      <c r="D1666" t="str">
        <f>"220303"</f>
        <v>220303</v>
      </c>
      <c r="E1666">
        <v>8054</v>
      </c>
      <c r="F1666">
        <v>4321</v>
      </c>
      <c r="G1666" s="1">
        <v>0.53649999999999998</v>
      </c>
      <c r="H1666">
        <v>22</v>
      </c>
      <c r="I1666">
        <v>7990</v>
      </c>
    </row>
    <row r="1667" spans="1:9" x14ac:dyDescent="0.35">
      <c r="A1667" t="s">
        <v>9</v>
      </c>
      <c r="B1667" t="s">
        <v>1628</v>
      </c>
      <c r="C1667" t="s">
        <v>1647</v>
      </c>
      <c r="D1667" t="str">
        <f>"220304"</f>
        <v>220304</v>
      </c>
      <c r="E1667">
        <v>6365</v>
      </c>
      <c r="F1667">
        <v>3118</v>
      </c>
      <c r="G1667" s="1">
        <v>0.4899</v>
      </c>
      <c r="H1667">
        <v>12</v>
      </c>
      <c r="I1667">
        <v>6344</v>
      </c>
    </row>
    <row r="1668" spans="1:9" x14ac:dyDescent="0.35">
      <c r="A1668" t="s">
        <v>9</v>
      </c>
      <c r="B1668" t="s">
        <v>1628</v>
      </c>
      <c r="C1668" t="s">
        <v>1648</v>
      </c>
      <c r="D1668" t="str">
        <f>"220305"</f>
        <v>220305</v>
      </c>
      <c r="E1668">
        <v>2404</v>
      </c>
      <c r="F1668">
        <v>1252</v>
      </c>
      <c r="G1668" s="1">
        <v>0.52080000000000004</v>
      </c>
      <c r="H1668">
        <v>4</v>
      </c>
      <c r="I1668">
        <v>2351</v>
      </c>
    </row>
    <row r="1669" spans="1:9" x14ac:dyDescent="0.35">
      <c r="A1669" t="s">
        <v>9</v>
      </c>
      <c r="B1669" t="s">
        <v>1628</v>
      </c>
      <c r="C1669" t="s">
        <v>1649</v>
      </c>
      <c r="D1669" t="str">
        <f>"220306"</f>
        <v>220306</v>
      </c>
      <c r="E1669">
        <v>4459</v>
      </c>
      <c r="F1669">
        <v>2332</v>
      </c>
      <c r="G1669" s="1">
        <v>0.52300000000000002</v>
      </c>
      <c r="H1669">
        <v>9</v>
      </c>
      <c r="I1669">
        <v>4437</v>
      </c>
    </row>
    <row r="1670" spans="1:9" x14ac:dyDescent="0.35">
      <c r="A1670" t="s">
        <v>9</v>
      </c>
      <c r="B1670" t="s">
        <v>1628</v>
      </c>
      <c r="C1670" t="s">
        <v>1650</v>
      </c>
      <c r="D1670" t="str">
        <f>"220307"</f>
        <v>220307</v>
      </c>
      <c r="E1670">
        <v>2649</v>
      </c>
      <c r="F1670">
        <v>1363</v>
      </c>
      <c r="G1670" s="1">
        <v>0.51449999999999996</v>
      </c>
      <c r="H1670">
        <v>6</v>
      </c>
      <c r="I1670">
        <v>2628</v>
      </c>
    </row>
    <row r="1671" spans="1:9" x14ac:dyDescent="0.35">
      <c r="A1671" t="s">
        <v>9</v>
      </c>
      <c r="B1671" t="s">
        <v>1628</v>
      </c>
      <c r="C1671" t="s">
        <v>1651</v>
      </c>
      <c r="D1671" t="str">
        <f>"220401"</f>
        <v>220401</v>
      </c>
      <c r="E1671">
        <v>22598</v>
      </c>
      <c r="F1671">
        <v>14106</v>
      </c>
      <c r="G1671" s="1">
        <v>0.62419999999999998</v>
      </c>
      <c r="H1671">
        <v>16</v>
      </c>
      <c r="I1671">
        <v>22421</v>
      </c>
    </row>
    <row r="1672" spans="1:9" x14ac:dyDescent="0.35">
      <c r="A1672" t="s">
        <v>9</v>
      </c>
      <c r="B1672" t="s">
        <v>1628</v>
      </c>
      <c r="C1672" t="s">
        <v>1652</v>
      </c>
      <c r="D1672" t="str">
        <f>"220402"</f>
        <v>220402</v>
      </c>
      <c r="E1672">
        <v>5182</v>
      </c>
      <c r="F1672">
        <v>2916</v>
      </c>
      <c r="G1672" s="1">
        <v>0.56269999999999998</v>
      </c>
      <c r="H1672">
        <v>7</v>
      </c>
      <c r="I1672">
        <v>5147</v>
      </c>
    </row>
    <row r="1673" spans="1:9" x14ac:dyDescent="0.35">
      <c r="A1673" t="s">
        <v>9</v>
      </c>
      <c r="B1673" t="s">
        <v>1628</v>
      </c>
      <c r="C1673" t="s">
        <v>1653</v>
      </c>
      <c r="D1673" t="str">
        <f>"220403"</f>
        <v>220403</v>
      </c>
      <c r="E1673">
        <v>14269</v>
      </c>
      <c r="F1673">
        <v>8943</v>
      </c>
      <c r="G1673" s="1">
        <v>0.62670000000000003</v>
      </c>
      <c r="H1673">
        <v>11</v>
      </c>
      <c r="I1673">
        <v>14117</v>
      </c>
    </row>
    <row r="1674" spans="1:9" x14ac:dyDescent="0.35">
      <c r="A1674" t="s">
        <v>9</v>
      </c>
      <c r="B1674" t="s">
        <v>1628</v>
      </c>
      <c r="C1674" t="s">
        <v>1654</v>
      </c>
      <c r="D1674" t="str">
        <f>"220404"</f>
        <v>220404</v>
      </c>
      <c r="E1674">
        <v>24074</v>
      </c>
      <c r="F1674">
        <v>14647</v>
      </c>
      <c r="G1674" s="1">
        <v>0.60840000000000005</v>
      </c>
      <c r="H1674">
        <v>15</v>
      </c>
      <c r="I1674">
        <v>23637</v>
      </c>
    </row>
    <row r="1675" spans="1:9" x14ac:dyDescent="0.35">
      <c r="A1675" t="s">
        <v>9</v>
      </c>
      <c r="B1675" t="s">
        <v>1628</v>
      </c>
      <c r="C1675" t="s">
        <v>1655</v>
      </c>
      <c r="D1675" t="str">
        <f>"220405"</f>
        <v>220405</v>
      </c>
      <c r="E1675">
        <v>4643</v>
      </c>
      <c r="F1675">
        <v>2653</v>
      </c>
      <c r="G1675" s="1">
        <v>0.57140000000000002</v>
      </c>
      <c r="H1675">
        <v>4</v>
      </c>
      <c r="I1675">
        <v>4519</v>
      </c>
    </row>
    <row r="1676" spans="1:9" x14ac:dyDescent="0.35">
      <c r="A1676" t="s">
        <v>9</v>
      </c>
      <c r="B1676" t="s">
        <v>1628</v>
      </c>
      <c r="C1676" t="s">
        <v>1656</v>
      </c>
      <c r="D1676" t="str">
        <f>"220406"</f>
        <v>220406</v>
      </c>
      <c r="E1676">
        <v>7754</v>
      </c>
      <c r="F1676">
        <v>4563</v>
      </c>
      <c r="G1676" s="1">
        <v>0.58850000000000002</v>
      </c>
      <c r="H1676">
        <v>10</v>
      </c>
      <c r="I1676">
        <v>7733</v>
      </c>
    </row>
    <row r="1677" spans="1:9" x14ac:dyDescent="0.35">
      <c r="A1677" t="s">
        <v>9</v>
      </c>
      <c r="B1677" t="s">
        <v>1628</v>
      </c>
      <c r="C1677" t="s">
        <v>1657</v>
      </c>
      <c r="D1677" t="str">
        <f>"220407"</f>
        <v>220407</v>
      </c>
      <c r="E1677">
        <v>3161</v>
      </c>
      <c r="F1677">
        <v>1692</v>
      </c>
      <c r="G1677" s="1">
        <v>0.5353</v>
      </c>
      <c r="H1677">
        <v>4</v>
      </c>
      <c r="I1677">
        <v>3145</v>
      </c>
    </row>
    <row r="1678" spans="1:9" x14ac:dyDescent="0.35">
      <c r="A1678" t="s">
        <v>9</v>
      </c>
      <c r="B1678" t="s">
        <v>1628</v>
      </c>
      <c r="C1678" t="s">
        <v>1658</v>
      </c>
      <c r="D1678" t="str">
        <f>"220408"</f>
        <v>220408</v>
      </c>
      <c r="E1678">
        <v>8854</v>
      </c>
      <c r="F1678">
        <v>4884</v>
      </c>
      <c r="G1678" s="1">
        <v>0.55159999999999998</v>
      </c>
      <c r="H1678">
        <v>6</v>
      </c>
      <c r="I1678">
        <v>8783</v>
      </c>
    </row>
    <row r="1679" spans="1:9" x14ac:dyDescent="0.35">
      <c r="A1679" t="s">
        <v>9</v>
      </c>
      <c r="B1679" t="s">
        <v>1628</v>
      </c>
      <c r="C1679" t="s">
        <v>1659</v>
      </c>
      <c r="D1679" t="str">
        <f>"220501"</f>
        <v>220501</v>
      </c>
      <c r="E1679">
        <v>5662</v>
      </c>
      <c r="F1679">
        <v>3315</v>
      </c>
      <c r="G1679" s="1">
        <v>0.58550000000000002</v>
      </c>
      <c r="H1679">
        <v>5</v>
      </c>
      <c r="I1679">
        <v>5645</v>
      </c>
    </row>
    <row r="1680" spans="1:9" x14ac:dyDescent="0.35">
      <c r="A1680" t="s">
        <v>9</v>
      </c>
      <c r="B1680" t="s">
        <v>1628</v>
      </c>
      <c r="C1680" t="s">
        <v>1660</v>
      </c>
      <c r="D1680" t="str">
        <f>"220502"</f>
        <v>220502</v>
      </c>
      <c r="E1680">
        <v>24330</v>
      </c>
      <c r="F1680">
        <v>14754</v>
      </c>
      <c r="G1680" s="1">
        <v>0.60640000000000005</v>
      </c>
      <c r="H1680">
        <v>22</v>
      </c>
      <c r="I1680">
        <v>24230</v>
      </c>
    </row>
    <row r="1681" spans="1:9" x14ac:dyDescent="0.35">
      <c r="A1681" t="s">
        <v>9</v>
      </c>
      <c r="B1681" t="s">
        <v>1628</v>
      </c>
      <c r="C1681" t="s">
        <v>1661</v>
      </c>
      <c r="D1681" t="str">
        <f>"220503"</f>
        <v>220503</v>
      </c>
      <c r="E1681">
        <v>7654</v>
      </c>
      <c r="F1681">
        <v>4828</v>
      </c>
      <c r="G1681" s="1">
        <v>0.63080000000000003</v>
      </c>
      <c r="H1681">
        <v>10</v>
      </c>
      <c r="I1681">
        <v>7532</v>
      </c>
    </row>
    <row r="1682" spans="1:9" x14ac:dyDescent="0.35">
      <c r="A1682" t="s">
        <v>9</v>
      </c>
      <c r="B1682" t="s">
        <v>1628</v>
      </c>
      <c r="C1682" t="s">
        <v>1662</v>
      </c>
      <c r="D1682" t="str">
        <f>"220504"</f>
        <v>220504</v>
      </c>
      <c r="E1682">
        <v>13906</v>
      </c>
      <c r="F1682">
        <v>8852</v>
      </c>
      <c r="G1682" s="1">
        <v>0.63660000000000005</v>
      </c>
      <c r="H1682">
        <v>13</v>
      </c>
      <c r="I1682">
        <v>13781</v>
      </c>
    </row>
    <row r="1683" spans="1:9" x14ac:dyDescent="0.35">
      <c r="A1683" t="s">
        <v>9</v>
      </c>
      <c r="B1683" t="s">
        <v>1628</v>
      </c>
      <c r="C1683" t="s">
        <v>1663</v>
      </c>
      <c r="D1683" t="str">
        <f>"220505"</f>
        <v>220505</v>
      </c>
      <c r="E1683">
        <v>8074</v>
      </c>
      <c r="F1683">
        <v>4851</v>
      </c>
      <c r="G1683" s="1">
        <v>0.6008</v>
      </c>
      <c r="H1683">
        <v>14</v>
      </c>
      <c r="I1683">
        <v>7987</v>
      </c>
    </row>
    <row r="1684" spans="1:9" x14ac:dyDescent="0.35">
      <c r="A1684" t="s">
        <v>9</v>
      </c>
      <c r="B1684" t="s">
        <v>1628</v>
      </c>
      <c r="C1684" t="s">
        <v>491</v>
      </c>
      <c r="D1684" t="str">
        <f>"220506"</f>
        <v>220506</v>
      </c>
      <c r="E1684">
        <v>8171</v>
      </c>
      <c r="F1684">
        <v>4951</v>
      </c>
      <c r="G1684" s="1">
        <v>0.60589999999999999</v>
      </c>
      <c r="H1684">
        <v>12</v>
      </c>
      <c r="I1684">
        <v>7993</v>
      </c>
    </row>
    <row r="1685" spans="1:9" x14ac:dyDescent="0.35">
      <c r="A1685" t="s">
        <v>9</v>
      </c>
      <c r="B1685" t="s">
        <v>1628</v>
      </c>
      <c r="C1685" t="s">
        <v>1664</v>
      </c>
      <c r="D1685" t="str">
        <f>"220507"</f>
        <v>220507</v>
      </c>
      <c r="E1685">
        <v>4245</v>
      </c>
      <c r="F1685">
        <v>2658</v>
      </c>
      <c r="G1685" s="1">
        <v>0.62609999999999999</v>
      </c>
      <c r="H1685">
        <v>6</v>
      </c>
      <c r="I1685">
        <v>4141</v>
      </c>
    </row>
    <row r="1686" spans="1:9" x14ac:dyDescent="0.35">
      <c r="A1686" t="s">
        <v>9</v>
      </c>
      <c r="B1686" t="s">
        <v>1628</v>
      </c>
      <c r="C1686" t="s">
        <v>1665</v>
      </c>
      <c r="D1686" t="str">
        <f>"220508"</f>
        <v>220508</v>
      </c>
      <c r="E1686">
        <v>32986</v>
      </c>
      <c r="F1686">
        <v>20190</v>
      </c>
      <c r="G1686" s="1">
        <v>0.61209999999999998</v>
      </c>
      <c r="H1686">
        <v>24</v>
      </c>
      <c r="I1686">
        <v>32628</v>
      </c>
    </row>
    <row r="1687" spans="1:9" x14ac:dyDescent="0.35">
      <c r="A1687" t="s">
        <v>9</v>
      </c>
      <c r="B1687" t="s">
        <v>1628</v>
      </c>
      <c r="C1687" t="s">
        <v>1666</v>
      </c>
      <c r="D1687" t="str">
        <f>"220601"</f>
        <v>220601</v>
      </c>
      <c r="E1687">
        <v>16754</v>
      </c>
      <c r="F1687">
        <v>10219</v>
      </c>
      <c r="G1687" s="1">
        <v>0.6099</v>
      </c>
      <c r="H1687">
        <v>11</v>
      </c>
      <c r="I1687">
        <v>16638</v>
      </c>
    </row>
    <row r="1688" spans="1:9" x14ac:dyDescent="0.35">
      <c r="A1688" t="s">
        <v>9</v>
      </c>
      <c r="B1688" t="s">
        <v>1628</v>
      </c>
      <c r="C1688" t="s">
        <v>1667</v>
      </c>
      <c r="D1688" t="str">
        <f>"220602"</f>
        <v>220602</v>
      </c>
      <c r="E1688">
        <v>3280</v>
      </c>
      <c r="F1688">
        <v>2009</v>
      </c>
      <c r="G1688" s="1">
        <v>0.61250000000000004</v>
      </c>
      <c r="H1688">
        <v>5</v>
      </c>
      <c r="I1688">
        <v>3251</v>
      </c>
    </row>
    <row r="1689" spans="1:9" x14ac:dyDescent="0.35">
      <c r="A1689" t="s">
        <v>9</v>
      </c>
      <c r="B1689" t="s">
        <v>1628</v>
      </c>
      <c r="C1689" t="s">
        <v>1668</v>
      </c>
      <c r="D1689" t="str">
        <f>"220603"</f>
        <v>220603</v>
      </c>
      <c r="E1689">
        <v>4618</v>
      </c>
      <c r="F1689">
        <v>2614</v>
      </c>
      <c r="G1689" s="1">
        <v>0.56599999999999995</v>
      </c>
      <c r="H1689">
        <v>4</v>
      </c>
      <c r="I1689">
        <v>4581</v>
      </c>
    </row>
    <row r="1690" spans="1:9" x14ac:dyDescent="0.35">
      <c r="A1690" t="s">
        <v>9</v>
      </c>
      <c r="B1690" t="s">
        <v>1628</v>
      </c>
      <c r="C1690" t="s">
        <v>1669</v>
      </c>
      <c r="D1690" t="str">
        <f>"220604"</f>
        <v>220604</v>
      </c>
      <c r="E1690">
        <v>11801</v>
      </c>
      <c r="F1690">
        <v>7228</v>
      </c>
      <c r="G1690" s="1">
        <v>0.61250000000000004</v>
      </c>
      <c r="H1690">
        <v>15</v>
      </c>
      <c r="I1690">
        <v>11630</v>
      </c>
    </row>
    <row r="1691" spans="1:9" x14ac:dyDescent="0.35">
      <c r="A1691" t="s">
        <v>9</v>
      </c>
      <c r="B1691" t="s">
        <v>1628</v>
      </c>
      <c r="C1691" t="s">
        <v>1670</v>
      </c>
      <c r="D1691" t="str">
        <f>"220605"</f>
        <v>220605</v>
      </c>
      <c r="E1691">
        <v>3450</v>
      </c>
      <c r="F1691">
        <v>2019</v>
      </c>
      <c r="G1691" s="1">
        <v>0.58520000000000005</v>
      </c>
      <c r="H1691">
        <v>8</v>
      </c>
      <c r="I1691">
        <v>3386</v>
      </c>
    </row>
    <row r="1692" spans="1:9" x14ac:dyDescent="0.35">
      <c r="A1692" t="s">
        <v>9</v>
      </c>
      <c r="B1692" t="s">
        <v>1628</v>
      </c>
      <c r="C1692" t="s">
        <v>1671</v>
      </c>
      <c r="D1692" t="str">
        <f>"220606"</f>
        <v>220606</v>
      </c>
      <c r="E1692">
        <v>2782</v>
      </c>
      <c r="F1692">
        <v>1781</v>
      </c>
      <c r="G1692" s="1">
        <v>0.64019999999999999</v>
      </c>
      <c r="H1692">
        <v>3</v>
      </c>
      <c r="I1692">
        <v>2761</v>
      </c>
    </row>
    <row r="1693" spans="1:9" x14ac:dyDescent="0.35">
      <c r="A1693" t="s">
        <v>9</v>
      </c>
      <c r="B1693" t="s">
        <v>1628</v>
      </c>
      <c r="C1693" t="s">
        <v>1672</v>
      </c>
      <c r="D1693" t="str">
        <f>"220607"</f>
        <v>220607</v>
      </c>
      <c r="E1693">
        <v>5238</v>
      </c>
      <c r="F1693">
        <v>3202</v>
      </c>
      <c r="G1693" s="1">
        <v>0.61129999999999995</v>
      </c>
      <c r="H1693">
        <v>8</v>
      </c>
      <c r="I1693">
        <v>5216</v>
      </c>
    </row>
    <row r="1694" spans="1:9" x14ac:dyDescent="0.35">
      <c r="A1694" t="s">
        <v>9</v>
      </c>
      <c r="B1694" t="s">
        <v>1628</v>
      </c>
      <c r="C1694" t="s">
        <v>1673</v>
      </c>
      <c r="D1694" t="str">
        <f>"220608"</f>
        <v>220608</v>
      </c>
      <c r="E1694">
        <v>5192</v>
      </c>
      <c r="F1694">
        <v>3003</v>
      </c>
      <c r="G1694" s="1">
        <v>0.57840000000000003</v>
      </c>
      <c r="H1694">
        <v>6</v>
      </c>
      <c r="I1694">
        <v>5127</v>
      </c>
    </row>
    <row r="1695" spans="1:9" x14ac:dyDescent="0.35">
      <c r="A1695" t="s">
        <v>9</v>
      </c>
      <c r="B1695" t="s">
        <v>1628</v>
      </c>
      <c r="C1695" t="s">
        <v>1674</v>
      </c>
      <c r="D1695" t="str">
        <f>"220701"</f>
        <v>220701</v>
      </c>
      <c r="E1695">
        <v>26375</v>
      </c>
      <c r="F1695">
        <v>14765</v>
      </c>
      <c r="G1695" s="1">
        <v>0.55979999999999996</v>
      </c>
      <c r="H1695">
        <v>21</v>
      </c>
      <c r="I1695">
        <v>26255</v>
      </c>
    </row>
    <row r="1696" spans="1:9" x14ac:dyDescent="0.35">
      <c r="A1696" t="s">
        <v>9</v>
      </c>
      <c r="B1696" t="s">
        <v>1628</v>
      </c>
      <c r="C1696" t="s">
        <v>1675</v>
      </c>
      <c r="D1696" t="str">
        <f>"220702"</f>
        <v>220702</v>
      </c>
      <c r="E1696">
        <v>6099</v>
      </c>
      <c r="F1696">
        <v>2893</v>
      </c>
      <c r="G1696" s="1">
        <v>0.4743</v>
      </c>
      <c r="H1696">
        <v>7</v>
      </c>
      <c r="I1696">
        <v>6093</v>
      </c>
    </row>
    <row r="1697" spans="1:9" x14ac:dyDescent="0.35">
      <c r="A1697" t="s">
        <v>9</v>
      </c>
      <c r="B1697" t="s">
        <v>1628</v>
      </c>
      <c r="C1697" t="s">
        <v>1676</v>
      </c>
      <c r="D1697" t="str">
        <f>"220703"</f>
        <v>220703</v>
      </c>
      <c r="E1697">
        <v>8343</v>
      </c>
      <c r="F1697">
        <v>4384</v>
      </c>
      <c r="G1697" s="1">
        <v>0.52549999999999997</v>
      </c>
      <c r="H1697">
        <v>13</v>
      </c>
      <c r="I1697">
        <v>8235</v>
      </c>
    </row>
    <row r="1698" spans="1:9" x14ac:dyDescent="0.35">
      <c r="A1698" t="s">
        <v>9</v>
      </c>
      <c r="B1698" t="s">
        <v>1628</v>
      </c>
      <c r="C1698" t="s">
        <v>1677</v>
      </c>
      <c r="D1698" t="str">
        <f>"220704"</f>
        <v>220704</v>
      </c>
      <c r="E1698">
        <v>9380</v>
      </c>
      <c r="F1698">
        <v>4731</v>
      </c>
      <c r="G1698" s="1">
        <v>0.50439999999999996</v>
      </c>
      <c r="H1698">
        <v>17</v>
      </c>
      <c r="I1698">
        <v>9356</v>
      </c>
    </row>
    <row r="1699" spans="1:9" x14ac:dyDescent="0.35">
      <c r="A1699" t="s">
        <v>9</v>
      </c>
      <c r="B1699" t="s">
        <v>1628</v>
      </c>
      <c r="C1699" t="s">
        <v>1678</v>
      </c>
      <c r="D1699" t="str">
        <f>"220705"</f>
        <v>220705</v>
      </c>
      <c r="E1699">
        <v>4096</v>
      </c>
      <c r="F1699">
        <v>2020</v>
      </c>
      <c r="G1699" s="1">
        <v>0.49320000000000003</v>
      </c>
      <c r="H1699">
        <v>6</v>
      </c>
      <c r="I1699">
        <v>4068</v>
      </c>
    </row>
    <row r="1700" spans="1:9" x14ac:dyDescent="0.35">
      <c r="A1700" t="s">
        <v>9</v>
      </c>
      <c r="B1700" t="s">
        <v>1628</v>
      </c>
      <c r="C1700" t="s">
        <v>1679</v>
      </c>
      <c r="D1700" t="str">
        <f>"220706"</f>
        <v>220706</v>
      </c>
      <c r="E1700">
        <v>4352</v>
      </c>
      <c r="F1700">
        <v>2183</v>
      </c>
      <c r="G1700" s="1">
        <v>0.50160000000000005</v>
      </c>
      <c r="H1700">
        <v>6</v>
      </c>
      <c r="I1700">
        <v>4339</v>
      </c>
    </row>
    <row r="1701" spans="1:9" x14ac:dyDescent="0.35">
      <c r="A1701" t="s">
        <v>9</v>
      </c>
      <c r="B1701" t="s">
        <v>1628</v>
      </c>
      <c r="C1701" t="s">
        <v>1680</v>
      </c>
      <c r="D1701" t="str">
        <f>"220801"</f>
        <v>220801</v>
      </c>
      <c r="E1701">
        <v>24330</v>
      </c>
      <c r="F1701">
        <v>14413</v>
      </c>
      <c r="G1701" s="1">
        <v>0.59240000000000004</v>
      </c>
      <c r="H1701">
        <v>20</v>
      </c>
      <c r="I1701">
        <v>24233</v>
      </c>
    </row>
    <row r="1702" spans="1:9" x14ac:dyDescent="0.35">
      <c r="A1702" t="s">
        <v>9</v>
      </c>
      <c r="B1702" t="s">
        <v>1628</v>
      </c>
      <c r="C1702" t="s">
        <v>1681</v>
      </c>
      <c r="D1702" t="str">
        <f>"220802"</f>
        <v>220802</v>
      </c>
      <c r="E1702">
        <v>2930</v>
      </c>
      <c r="F1702">
        <v>1961</v>
      </c>
      <c r="G1702" s="1">
        <v>0.66930000000000001</v>
      </c>
      <c r="H1702">
        <v>3</v>
      </c>
      <c r="I1702">
        <v>2622</v>
      </c>
    </row>
    <row r="1703" spans="1:9" x14ac:dyDescent="0.35">
      <c r="A1703" t="s">
        <v>9</v>
      </c>
      <c r="B1703" t="s">
        <v>1628</v>
      </c>
      <c r="C1703" t="s">
        <v>1682</v>
      </c>
      <c r="D1703" t="str">
        <f>"220803"</f>
        <v>220803</v>
      </c>
      <c r="E1703">
        <v>5126</v>
      </c>
      <c r="F1703">
        <v>2604</v>
      </c>
      <c r="G1703" s="1">
        <v>0.50800000000000001</v>
      </c>
      <c r="H1703">
        <v>4</v>
      </c>
      <c r="I1703">
        <v>5096</v>
      </c>
    </row>
    <row r="1704" spans="1:9" x14ac:dyDescent="0.35">
      <c r="A1704" t="s">
        <v>9</v>
      </c>
      <c r="B1704" t="s">
        <v>1628</v>
      </c>
      <c r="C1704" t="s">
        <v>1683</v>
      </c>
      <c r="D1704" t="str">
        <f>"220804"</f>
        <v>220804</v>
      </c>
      <c r="E1704">
        <v>9988</v>
      </c>
      <c r="F1704">
        <v>5530</v>
      </c>
      <c r="G1704" s="1">
        <v>0.55369999999999997</v>
      </c>
      <c r="H1704">
        <v>16</v>
      </c>
      <c r="I1704">
        <v>9947</v>
      </c>
    </row>
    <row r="1705" spans="1:9" x14ac:dyDescent="0.35">
      <c r="A1705" t="s">
        <v>9</v>
      </c>
      <c r="B1705" t="s">
        <v>1628</v>
      </c>
      <c r="C1705" t="s">
        <v>1684</v>
      </c>
      <c r="D1705" t="str">
        <f>"220805"</f>
        <v>220805</v>
      </c>
      <c r="E1705">
        <v>4266</v>
      </c>
      <c r="F1705">
        <v>2446</v>
      </c>
      <c r="G1705" s="1">
        <v>0.57340000000000002</v>
      </c>
      <c r="H1705">
        <v>10</v>
      </c>
      <c r="I1705">
        <v>4227</v>
      </c>
    </row>
    <row r="1706" spans="1:9" x14ac:dyDescent="0.35">
      <c r="A1706" t="s">
        <v>9</v>
      </c>
      <c r="B1706" t="s">
        <v>1628</v>
      </c>
      <c r="C1706" t="s">
        <v>1685</v>
      </c>
      <c r="D1706" t="str">
        <f>"220901"</f>
        <v>220901</v>
      </c>
      <c r="E1706">
        <v>27199</v>
      </c>
      <c r="F1706">
        <v>16158</v>
      </c>
      <c r="G1706" s="1">
        <v>0.59409999999999996</v>
      </c>
      <c r="H1706">
        <v>18</v>
      </c>
      <c r="I1706">
        <v>27108</v>
      </c>
    </row>
    <row r="1707" spans="1:9" x14ac:dyDescent="0.35">
      <c r="A1707" t="s">
        <v>9</v>
      </c>
      <c r="B1707" t="s">
        <v>1628</v>
      </c>
      <c r="C1707" t="s">
        <v>1686</v>
      </c>
      <c r="D1707" t="str">
        <f>"220903"</f>
        <v>220903</v>
      </c>
      <c r="E1707">
        <v>3260</v>
      </c>
      <c r="F1707">
        <v>1623</v>
      </c>
      <c r="G1707" s="1">
        <v>0.49790000000000001</v>
      </c>
      <c r="H1707">
        <v>4</v>
      </c>
      <c r="I1707">
        <v>3253</v>
      </c>
    </row>
    <row r="1708" spans="1:9" x14ac:dyDescent="0.35">
      <c r="A1708" t="s">
        <v>9</v>
      </c>
      <c r="B1708" t="s">
        <v>1628</v>
      </c>
      <c r="C1708" t="s">
        <v>1687</v>
      </c>
      <c r="D1708" t="str">
        <f>"220904"</f>
        <v>220904</v>
      </c>
      <c r="E1708">
        <v>3697</v>
      </c>
      <c r="F1708">
        <v>2089</v>
      </c>
      <c r="G1708" s="1">
        <v>0.56510000000000005</v>
      </c>
      <c r="H1708">
        <v>4</v>
      </c>
      <c r="I1708">
        <v>3668</v>
      </c>
    </row>
    <row r="1709" spans="1:9" x14ac:dyDescent="0.35">
      <c r="A1709" t="s">
        <v>9</v>
      </c>
      <c r="B1709" t="s">
        <v>1628</v>
      </c>
      <c r="C1709" t="s">
        <v>1688</v>
      </c>
      <c r="D1709" t="str">
        <f>"220906"</f>
        <v>220906</v>
      </c>
      <c r="E1709">
        <v>2539</v>
      </c>
      <c r="F1709">
        <v>1363</v>
      </c>
      <c r="G1709" s="1">
        <v>0.53680000000000005</v>
      </c>
      <c r="H1709">
        <v>4</v>
      </c>
      <c r="I1709">
        <v>2528</v>
      </c>
    </row>
    <row r="1710" spans="1:9" x14ac:dyDescent="0.35">
      <c r="A1710" t="s">
        <v>9</v>
      </c>
      <c r="B1710" t="s">
        <v>1628</v>
      </c>
      <c r="C1710" t="s">
        <v>1689</v>
      </c>
      <c r="D1710" t="str">
        <f>"220907"</f>
        <v>220907</v>
      </c>
      <c r="E1710">
        <v>5303</v>
      </c>
      <c r="F1710">
        <v>2620</v>
      </c>
      <c r="G1710" s="1">
        <v>0.49409999999999998</v>
      </c>
      <c r="H1710">
        <v>7</v>
      </c>
      <c r="I1710">
        <v>5238</v>
      </c>
    </row>
    <row r="1711" spans="1:9" x14ac:dyDescent="0.35">
      <c r="A1711" t="s">
        <v>9</v>
      </c>
      <c r="B1711" t="s">
        <v>1628</v>
      </c>
      <c r="C1711" t="s">
        <v>1690</v>
      </c>
      <c r="D1711" t="str">
        <f>"220908"</f>
        <v>220908</v>
      </c>
      <c r="E1711">
        <v>3360</v>
      </c>
      <c r="F1711">
        <v>1825</v>
      </c>
      <c r="G1711" s="1">
        <v>0.54320000000000002</v>
      </c>
      <c r="H1711">
        <v>4</v>
      </c>
      <c r="I1711">
        <v>3356</v>
      </c>
    </row>
    <row r="1712" spans="1:9" x14ac:dyDescent="0.35">
      <c r="A1712" t="s">
        <v>9</v>
      </c>
      <c r="B1712" t="s">
        <v>1628</v>
      </c>
      <c r="C1712" t="s">
        <v>1691</v>
      </c>
      <c r="D1712" t="str">
        <f>"221001"</f>
        <v>221001</v>
      </c>
      <c r="E1712">
        <v>1407</v>
      </c>
      <c r="F1712">
        <v>1001</v>
      </c>
      <c r="G1712" s="1">
        <v>0.71140000000000003</v>
      </c>
      <c r="H1712">
        <v>1</v>
      </c>
      <c r="I1712">
        <v>1148</v>
      </c>
    </row>
    <row r="1713" spans="1:9" x14ac:dyDescent="0.35">
      <c r="A1713" t="s">
        <v>9</v>
      </c>
      <c r="B1713" t="s">
        <v>1628</v>
      </c>
      <c r="C1713" t="s">
        <v>1692</v>
      </c>
      <c r="D1713" t="str">
        <f>"221002"</f>
        <v>221002</v>
      </c>
      <c r="E1713">
        <v>12740</v>
      </c>
      <c r="F1713">
        <v>7023</v>
      </c>
      <c r="G1713" s="1">
        <v>0.55130000000000001</v>
      </c>
      <c r="H1713">
        <v>16</v>
      </c>
      <c r="I1713">
        <v>12708</v>
      </c>
    </row>
    <row r="1714" spans="1:9" x14ac:dyDescent="0.35">
      <c r="A1714" t="s">
        <v>9</v>
      </c>
      <c r="B1714" t="s">
        <v>1628</v>
      </c>
      <c r="C1714" t="s">
        <v>1693</v>
      </c>
      <c r="D1714" t="str">
        <f>"221003"</f>
        <v>221003</v>
      </c>
      <c r="E1714">
        <v>2334</v>
      </c>
      <c r="F1714">
        <v>1210</v>
      </c>
      <c r="G1714" s="1">
        <v>0.51839999999999997</v>
      </c>
      <c r="H1714">
        <v>6</v>
      </c>
      <c r="I1714">
        <v>2315</v>
      </c>
    </row>
    <row r="1715" spans="1:9" x14ac:dyDescent="0.35">
      <c r="A1715" t="s">
        <v>9</v>
      </c>
      <c r="B1715" t="s">
        <v>1628</v>
      </c>
      <c r="C1715" t="s">
        <v>1694</v>
      </c>
      <c r="D1715" t="str">
        <f>"221004"</f>
        <v>221004</v>
      </c>
      <c r="E1715">
        <v>7551</v>
      </c>
      <c r="F1715">
        <v>4095</v>
      </c>
      <c r="G1715" s="1">
        <v>0.5423</v>
      </c>
      <c r="H1715">
        <v>10</v>
      </c>
      <c r="I1715">
        <v>7285</v>
      </c>
    </row>
    <row r="1716" spans="1:9" x14ac:dyDescent="0.35">
      <c r="A1716" t="s">
        <v>9</v>
      </c>
      <c r="B1716" t="s">
        <v>1628</v>
      </c>
      <c r="C1716" t="s">
        <v>1695</v>
      </c>
      <c r="D1716" t="str">
        <f>"221005"</f>
        <v>221005</v>
      </c>
      <c r="E1716">
        <v>2780</v>
      </c>
      <c r="F1716">
        <v>1425</v>
      </c>
      <c r="G1716" s="1">
        <v>0.51259999999999994</v>
      </c>
      <c r="H1716">
        <v>2</v>
      </c>
      <c r="I1716">
        <v>2721</v>
      </c>
    </row>
    <row r="1717" spans="1:9" x14ac:dyDescent="0.35">
      <c r="A1717" t="s">
        <v>9</v>
      </c>
      <c r="B1717" t="s">
        <v>1628</v>
      </c>
      <c r="C1717" t="s">
        <v>1696</v>
      </c>
      <c r="D1717" t="str">
        <f>"221101"</f>
        <v>221101</v>
      </c>
      <c r="E1717">
        <v>2526</v>
      </c>
      <c r="F1717">
        <v>1563</v>
      </c>
      <c r="G1717" s="1">
        <v>0.61880000000000002</v>
      </c>
      <c r="H1717">
        <v>2</v>
      </c>
      <c r="I1717">
        <v>2374</v>
      </c>
    </row>
    <row r="1718" spans="1:9" x14ac:dyDescent="0.35">
      <c r="A1718" t="s">
        <v>9</v>
      </c>
      <c r="B1718" t="s">
        <v>1628</v>
      </c>
      <c r="C1718" t="s">
        <v>1697</v>
      </c>
      <c r="D1718" t="str">
        <f>"221102"</f>
        <v>221102</v>
      </c>
      <c r="E1718">
        <v>3092</v>
      </c>
      <c r="F1718">
        <v>1985</v>
      </c>
      <c r="G1718" s="1">
        <v>0.64200000000000002</v>
      </c>
      <c r="H1718">
        <v>3</v>
      </c>
      <c r="I1718">
        <v>2911</v>
      </c>
    </row>
    <row r="1719" spans="1:9" x14ac:dyDescent="0.35">
      <c r="A1719" t="s">
        <v>9</v>
      </c>
      <c r="B1719" t="s">
        <v>1628</v>
      </c>
      <c r="C1719" t="s">
        <v>1698</v>
      </c>
      <c r="D1719" t="str">
        <f>"221103"</f>
        <v>221103</v>
      </c>
      <c r="E1719">
        <v>7957</v>
      </c>
      <c r="F1719">
        <v>4381</v>
      </c>
      <c r="G1719" s="1">
        <v>0.55059999999999998</v>
      </c>
      <c r="H1719">
        <v>5</v>
      </c>
      <c r="I1719">
        <v>7836</v>
      </c>
    </row>
    <row r="1720" spans="1:9" x14ac:dyDescent="0.35">
      <c r="A1720" t="s">
        <v>9</v>
      </c>
      <c r="B1720" t="s">
        <v>1628</v>
      </c>
      <c r="C1720" t="s">
        <v>1699</v>
      </c>
      <c r="D1720" t="str">
        <f>"221104"</f>
        <v>221104</v>
      </c>
      <c r="E1720">
        <v>11844</v>
      </c>
      <c r="F1720">
        <v>7599</v>
      </c>
      <c r="G1720" s="1">
        <v>0.64159999999999995</v>
      </c>
      <c r="H1720">
        <v>12</v>
      </c>
      <c r="I1720">
        <v>11293</v>
      </c>
    </row>
    <row r="1721" spans="1:9" x14ac:dyDescent="0.35">
      <c r="A1721" t="s">
        <v>9</v>
      </c>
      <c r="B1721" t="s">
        <v>1628</v>
      </c>
      <c r="C1721" t="s">
        <v>1700</v>
      </c>
      <c r="D1721" t="str">
        <f>"221105"</f>
        <v>221105</v>
      </c>
      <c r="E1721">
        <v>13933</v>
      </c>
      <c r="F1721">
        <v>9198</v>
      </c>
      <c r="G1721" s="1">
        <v>0.66020000000000001</v>
      </c>
      <c r="H1721">
        <v>9</v>
      </c>
      <c r="I1721">
        <v>13773</v>
      </c>
    </row>
    <row r="1722" spans="1:9" x14ac:dyDescent="0.35">
      <c r="A1722" t="s">
        <v>9</v>
      </c>
      <c r="B1722" t="s">
        <v>1628</v>
      </c>
      <c r="C1722" t="s">
        <v>1701</v>
      </c>
      <c r="D1722" t="str">
        <f>"221106"</f>
        <v>221106</v>
      </c>
      <c r="E1722">
        <v>8111</v>
      </c>
      <c r="F1722">
        <v>4797</v>
      </c>
      <c r="G1722" s="1">
        <v>0.59140000000000004</v>
      </c>
      <c r="H1722">
        <v>18</v>
      </c>
      <c r="I1722">
        <v>7975</v>
      </c>
    </row>
    <row r="1723" spans="1:9" x14ac:dyDescent="0.35">
      <c r="A1723" t="s">
        <v>9</v>
      </c>
      <c r="B1723" t="s">
        <v>1628</v>
      </c>
      <c r="C1723" t="s">
        <v>1702</v>
      </c>
      <c r="D1723" t="str">
        <f>"221107"</f>
        <v>221107</v>
      </c>
      <c r="E1723">
        <v>20235</v>
      </c>
      <c r="F1723">
        <v>11356</v>
      </c>
      <c r="G1723" s="1">
        <v>0.56120000000000003</v>
      </c>
      <c r="H1723">
        <v>24</v>
      </c>
      <c r="I1723">
        <v>20164</v>
      </c>
    </row>
    <row r="1724" spans="1:9" x14ac:dyDescent="0.35">
      <c r="A1724" t="s">
        <v>9</v>
      </c>
      <c r="B1724" t="s">
        <v>1628</v>
      </c>
      <c r="C1724" t="s">
        <v>1703</v>
      </c>
      <c r="D1724" t="str">
        <f>"221201"</f>
        <v>221201</v>
      </c>
      <c r="E1724">
        <v>11615</v>
      </c>
      <c r="F1724">
        <v>7247</v>
      </c>
      <c r="G1724" s="1">
        <v>0.62390000000000001</v>
      </c>
      <c r="H1724">
        <v>7</v>
      </c>
      <c r="I1724">
        <v>10703</v>
      </c>
    </row>
    <row r="1725" spans="1:9" x14ac:dyDescent="0.35">
      <c r="A1725" t="s">
        <v>9</v>
      </c>
      <c r="B1725" t="s">
        <v>1628</v>
      </c>
      <c r="C1725" t="s">
        <v>1704</v>
      </c>
      <c r="D1725" t="str">
        <f>"221202"</f>
        <v>221202</v>
      </c>
      <c r="E1725">
        <v>4245</v>
      </c>
      <c r="F1725">
        <v>2291</v>
      </c>
      <c r="G1725" s="1">
        <v>0.53969999999999996</v>
      </c>
      <c r="H1725">
        <v>8</v>
      </c>
      <c r="I1725">
        <v>4234</v>
      </c>
    </row>
    <row r="1726" spans="1:9" x14ac:dyDescent="0.35">
      <c r="A1726" t="s">
        <v>9</v>
      </c>
      <c r="B1726" t="s">
        <v>1628</v>
      </c>
      <c r="C1726" t="s">
        <v>1705</v>
      </c>
      <c r="D1726" t="str">
        <f>"221203"</f>
        <v>221203</v>
      </c>
      <c r="E1726">
        <v>6841</v>
      </c>
      <c r="F1726">
        <v>3439</v>
      </c>
      <c r="G1726" s="1">
        <v>0.50270000000000004</v>
      </c>
      <c r="H1726">
        <v>13</v>
      </c>
      <c r="I1726">
        <v>6805</v>
      </c>
    </row>
    <row r="1727" spans="1:9" x14ac:dyDescent="0.35">
      <c r="A1727" t="s">
        <v>9</v>
      </c>
      <c r="B1727" t="s">
        <v>1628</v>
      </c>
      <c r="C1727" t="s">
        <v>1706</v>
      </c>
      <c r="D1727" t="str">
        <f>"221204"</f>
        <v>221204</v>
      </c>
      <c r="E1727">
        <v>6322</v>
      </c>
      <c r="F1727">
        <v>2928</v>
      </c>
      <c r="G1727" s="1">
        <v>0.46310000000000001</v>
      </c>
      <c r="H1727">
        <v>19</v>
      </c>
      <c r="I1727">
        <v>6277</v>
      </c>
    </row>
    <row r="1728" spans="1:9" x14ac:dyDescent="0.35">
      <c r="A1728" t="s">
        <v>9</v>
      </c>
      <c r="B1728" t="s">
        <v>1628</v>
      </c>
      <c r="C1728" t="s">
        <v>1707</v>
      </c>
      <c r="D1728" t="str">
        <f>"221205"</f>
        <v>221205</v>
      </c>
      <c r="E1728">
        <v>6246</v>
      </c>
      <c r="F1728">
        <v>3033</v>
      </c>
      <c r="G1728" s="1">
        <v>0.48559999999999998</v>
      </c>
      <c r="H1728">
        <v>16</v>
      </c>
      <c r="I1728">
        <v>6194</v>
      </c>
    </row>
    <row r="1729" spans="1:9" x14ac:dyDescent="0.35">
      <c r="A1729" t="s">
        <v>9</v>
      </c>
      <c r="B1729" t="s">
        <v>1628</v>
      </c>
      <c r="C1729" t="s">
        <v>1708</v>
      </c>
      <c r="D1729" t="str">
        <f>"221206"</f>
        <v>221206</v>
      </c>
      <c r="E1729">
        <v>9779</v>
      </c>
      <c r="F1729">
        <v>5051</v>
      </c>
      <c r="G1729" s="1">
        <v>0.51649999999999996</v>
      </c>
      <c r="H1729">
        <v>11</v>
      </c>
      <c r="I1729">
        <v>9645</v>
      </c>
    </row>
    <row r="1730" spans="1:9" x14ac:dyDescent="0.35">
      <c r="A1730" t="s">
        <v>9</v>
      </c>
      <c r="B1730" t="s">
        <v>1628</v>
      </c>
      <c r="C1730" t="s">
        <v>1709</v>
      </c>
      <c r="D1730" t="str">
        <f>"221207"</f>
        <v>221207</v>
      </c>
      <c r="E1730">
        <v>4767</v>
      </c>
      <c r="F1730">
        <v>2385</v>
      </c>
      <c r="G1730" s="1">
        <v>0.50029999999999997</v>
      </c>
      <c r="H1730">
        <v>10</v>
      </c>
      <c r="I1730">
        <v>4730</v>
      </c>
    </row>
    <row r="1731" spans="1:9" x14ac:dyDescent="0.35">
      <c r="A1731" t="s">
        <v>9</v>
      </c>
      <c r="B1731" t="s">
        <v>1628</v>
      </c>
      <c r="C1731" t="s">
        <v>1710</v>
      </c>
      <c r="D1731" t="str">
        <f>"221208"</f>
        <v>221208</v>
      </c>
      <c r="E1731">
        <v>13450</v>
      </c>
      <c r="F1731">
        <v>7758</v>
      </c>
      <c r="G1731" s="1">
        <v>0.57679999999999998</v>
      </c>
      <c r="H1731">
        <v>18</v>
      </c>
      <c r="I1731">
        <v>13338</v>
      </c>
    </row>
    <row r="1732" spans="1:9" x14ac:dyDescent="0.35">
      <c r="A1732" t="s">
        <v>9</v>
      </c>
      <c r="B1732" t="s">
        <v>1628</v>
      </c>
      <c r="C1732" t="s">
        <v>1711</v>
      </c>
      <c r="D1732" t="str">
        <f>"221209"</f>
        <v>221209</v>
      </c>
      <c r="E1732">
        <v>2433</v>
      </c>
      <c r="F1732">
        <v>1326</v>
      </c>
      <c r="G1732" s="1">
        <v>0.54500000000000004</v>
      </c>
      <c r="H1732">
        <v>4</v>
      </c>
      <c r="I1732">
        <v>2393</v>
      </c>
    </row>
    <row r="1733" spans="1:9" x14ac:dyDescent="0.35">
      <c r="A1733" t="s">
        <v>9</v>
      </c>
      <c r="B1733" t="s">
        <v>1628</v>
      </c>
      <c r="C1733" t="s">
        <v>1712</v>
      </c>
      <c r="D1733" t="str">
        <f>"221210"</f>
        <v>221210</v>
      </c>
      <c r="E1733">
        <v>6323</v>
      </c>
      <c r="F1733">
        <v>3666</v>
      </c>
      <c r="G1733" s="1">
        <v>0.57979999999999998</v>
      </c>
      <c r="H1733">
        <v>15</v>
      </c>
      <c r="I1733">
        <v>5961</v>
      </c>
    </row>
    <row r="1734" spans="1:9" x14ac:dyDescent="0.35">
      <c r="A1734" t="s">
        <v>9</v>
      </c>
      <c r="B1734" t="s">
        <v>1628</v>
      </c>
      <c r="C1734" t="s">
        <v>1713</v>
      </c>
      <c r="D1734" t="str">
        <f>"221301"</f>
        <v>221301</v>
      </c>
      <c r="E1734">
        <v>2328</v>
      </c>
      <c r="F1734">
        <v>1351</v>
      </c>
      <c r="G1734" s="1">
        <v>0.58030000000000004</v>
      </c>
      <c r="H1734">
        <v>3</v>
      </c>
      <c r="I1734">
        <v>2317</v>
      </c>
    </row>
    <row r="1735" spans="1:9" x14ac:dyDescent="0.35">
      <c r="A1735" t="s">
        <v>9</v>
      </c>
      <c r="B1735" t="s">
        <v>1628</v>
      </c>
      <c r="C1735" t="s">
        <v>1714</v>
      </c>
      <c r="D1735" t="str">
        <f>"221302"</f>
        <v>221302</v>
      </c>
      <c r="E1735">
        <v>2511</v>
      </c>
      <c r="F1735">
        <v>1457</v>
      </c>
      <c r="G1735" s="1">
        <v>0.58020000000000005</v>
      </c>
      <c r="H1735">
        <v>2</v>
      </c>
      <c r="I1735">
        <v>2486</v>
      </c>
    </row>
    <row r="1736" spans="1:9" x14ac:dyDescent="0.35">
      <c r="A1736" t="s">
        <v>9</v>
      </c>
      <c r="B1736" t="s">
        <v>1628</v>
      </c>
      <c r="C1736" t="s">
        <v>1715</v>
      </c>
      <c r="D1736" t="str">
        <f>"221303"</f>
        <v>221303</v>
      </c>
      <c r="E1736">
        <v>32710</v>
      </c>
      <c r="F1736">
        <v>18346</v>
      </c>
      <c r="G1736" s="1">
        <v>0.56089999999999995</v>
      </c>
      <c r="H1736">
        <v>21</v>
      </c>
      <c r="I1736">
        <v>32596</v>
      </c>
    </row>
    <row r="1737" spans="1:9" x14ac:dyDescent="0.35">
      <c r="A1737" t="s">
        <v>9</v>
      </c>
      <c r="B1737" t="s">
        <v>1628</v>
      </c>
      <c r="C1737" t="s">
        <v>1716</v>
      </c>
      <c r="D1737" t="str">
        <f>"221304"</f>
        <v>221304</v>
      </c>
      <c r="E1737">
        <v>2335</v>
      </c>
      <c r="F1737">
        <v>1232</v>
      </c>
      <c r="G1737" s="1">
        <v>0.52759999999999996</v>
      </c>
      <c r="H1737">
        <v>4</v>
      </c>
      <c r="I1737">
        <v>2331</v>
      </c>
    </row>
    <row r="1738" spans="1:9" x14ac:dyDescent="0.35">
      <c r="A1738" t="s">
        <v>9</v>
      </c>
      <c r="B1738" t="s">
        <v>1628</v>
      </c>
      <c r="C1738" t="s">
        <v>1717</v>
      </c>
      <c r="D1738" t="str">
        <f>"221305"</f>
        <v>221305</v>
      </c>
      <c r="E1738">
        <v>4059</v>
      </c>
      <c r="F1738">
        <v>2274</v>
      </c>
      <c r="G1738" s="1">
        <v>0.56020000000000003</v>
      </c>
      <c r="H1738">
        <v>3</v>
      </c>
      <c r="I1738">
        <v>4041</v>
      </c>
    </row>
    <row r="1739" spans="1:9" x14ac:dyDescent="0.35">
      <c r="A1739" t="s">
        <v>9</v>
      </c>
      <c r="B1739" t="s">
        <v>1628</v>
      </c>
      <c r="C1739" t="s">
        <v>1718</v>
      </c>
      <c r="D1739" t="str">
        <f>"221306"</f>
        <v>221306</v>
      </c>
      <c r="E1739">
        <v>5048</v>
      </c>
      <c r="F1739">
        <v>2845</v>
      </c>
      <c r="G1739" s="1">
        <v>0.56359999999999999</v>
      </c>
      <c r="H1739">
        <v>6</v>
      </c>
      <c r="I1739">
        <v>4988</v>
      </c>
    </row>
    <row r="1740" spans="1:9" x14ac:dyDescent="0.35">
      <c r="A1740" t="s">
        <v>9</v>
      </c>
      <c r="B1740" t="s">
        <v>1628</v>
      </c>
      <c r="C1740" t="s">
        <v>1719</v>
      </c>
      <c r="D1740" t="str">
        <f>"221307"</f>
        <v>221307</v>
      </c>
      <c r="E1740">
        <v>2141</v>
      </c>
      <c r="F1740">
        <v>1288</v>
      </c>
      <c r="G1740" s="1">
        <v>0.60160000000000002</v>
      </c>
      <c r="H1740">
        <v>2</v>
      </c>
      <c r="I1740">
        <v>2124</v>
      </c>
    </row>
    <row r="1741" spans="1:9" x14ac:dyDescent="0.35">
      <c r="A1741" t="s">
        <v>9</v>
      </c>
      <c r="B1741" t="s">
        <v>1628</v>
      </c>
      <c r="C1741" t="s">
        <v>197</v>
      </c>
      <c r="D1741" t="str">
        <f>"221308"</f>
        <v>221308</v>
      </c>
      <c r="E1741">
        <v>1963</v>
      </c>
      <c r="F1741">
        <v>1208</v>
      </c>
      <c r="G1741" s="1">
        <v>0.61539999999999995</v>
      </c>
      <c r="H1741">
        <v>5</v>
      </c>
      <c r="I1741">
        <v>1907</v>
      </c>
    </row>
    <row r="1742" spans="1:9" x14ac:dyDescent="0.35">
      <c r="A1742" t="s">
        <v>9</v>
      </c>
      <c r="B1742" t="s">
        <v>1628</v>
      </c>
      <c r="C1742" t="s">
        <v>1720</v>
      </c>
      <c r="D1742" t="str">
        <f>"221309"</f>
        <v>221309</v>
      </c>
      <c r="E1742">
        <v>10432</v>
      </c>
      <c r="F1742">
        <v>5795</v>
      </c>
      <c r="G1742" s="1">
        <v>0.55549999999999999</v>
      </c>
      <c r="H1742">
        <v>17</v>
      </c>
      <c r="I1742">
        <v>10306</v>
      </c>
    </row>
    <row r="1743" spans="1:9" x14ac:dyDescent="0.35">
      <c r="A1743" t="s">
        <v>9</v>
      </c>
      <c r="B1743" t="s">
        <v>1628</v>
      </c>
      <c r="C1743" t="s">
        <v>1721</v>
      </c>
      <c r="D1743" t="str">
        <f>"221310"</f>
        <v>221310</v>
      </c>
      <c r="E1743">
        <v>3363</v>
      </c>
      <c r="F1743">
        <v>1856</v>
      </c>
      <c r="G1743" s="1">
        <v>0.55189999999999995</v>
      </c>
      <c r="H1743">
        <v>4</v>
      </c>
      <c r="I1743">
        <v>3312</v>
      </c>
    </row>
    <row r="1744" spans="1:9" x14ac:dyDescent="0.35">
      <c r="A1744" t="s">
        <v>9</v>
      </c>
      <c r="B1744" t="s">
        <v>1628</v>
      </c>
      <c r="C1744" t="s">
        <v>1722</v>
      </c>
      <c r="D1744" t="str">
        <f>"221311"</f>
        <v>221311</v>
      </c>
      <c r="E1744">
        <v>3785</v>
      </c>
      <c r="F1744">
        <v>2066</v>
      </c>
      <c r="G1744" s="1">
        <v>0.54579999999999995</v>
      </c>
      <c r="H1744">
        <v>8</v>
      </c>
      <c r="I1744">
        <v>3781</v>
      </c>
    </row>
    <row r="1745" spans="1:9" x14ac:dyDescent="0.35">
      <c r="A1745" t="s">
        <v>9</v>
      </c>
      <c r="B1745" t="s">
        <v>1628</v>
      </c>
      <c r="C1745" t="s">
        <v>1723</v>
      </c>
      <c r="D1745" t="str">
        <f>"221312"</f>
        <v>221312</v>
      </c>
      <c r="E1745">
        <v>11886</v>
      </c>
      <c r="F1745">
        <v>7197</v>
      </c>
      <c r="G1745" s="1">
        <v>0.60550000000000004</v>
      </c>
      <c r="H1745">
        <v>20</v>
      </c>
      <c r="I1745">
        <v>11818</v>
      </c>
    </row>
    <row r="1746" spans="1:9" x14ac:dyDescent="0.35">
      <c r="A1746" t="s">
        <v>9</v>
      </c>
      <c r="B1746" t="s">
        <v>1628</v>
      </c>
      <c r="C1746" t="s">
        <v>1724</v>
      </c>
      <c r="D1746" t="str">
        <f>"221313"</f>
        <v>221313</v>
      </c>
      <c r="E1746">
        <v>8814</v>
      </c>
      <c r="F1746">
        <v>5027</v>
      </c>
      <c r="G1746" s="1">
        <v>0.57030000000000003</v>
      </c>
      <c r="H1746">
        <v>10</v>
      </c>
      <c r="I1746">
        <v>8777</v>
      </c>
    </row>
    <row r="1747" spans="1:9" x14ac:dyDescent="0.35">
      <c r="A1747" t="s">
        <v>9</v>
      </c>
      <c r="B1747" t="s">
        <v>1628</v>
      </c>
      <c r="C1747" t="s">
        <v>1725</v>
      </c>
      <c r="D1747" t="str">
        <f>"221401"</f>
        <v>221401</v>
      </c>
      <c r="E1747">
        <v>41235</v>
      </c>
      <c r="F1747">
        <v>24827</v>
      </c>
      <c r="G1747" s="1">
        <v>0.60209999999999997</v>
      </c>
      <c r="H1747">
        <v>25</v>
      </c>
      <c r="I1747">
        <v>41025</v>
      </c>
    </row>
    <row r="1748" spans="1:9" x14ac:dyDescent="0.35">
      <c r="A1748" t="s">
        <v>9</v>
      </c>
      <c r="B1748" t="s">
        <v>1628</v>
      </c>
      <c r="C1748" t="s">
        <v>1726</v>
      </c>
      <c r="D1748" t="str">
        <f>"221402"</f>
        <v>221402</v>
      </c>
      <c r="E1748">
        <v>11049</v>
      </c>
      <c r="F1748">
        <v>5677</v>
      </c>
      <c r="G1748" s="1">
        <v>0.51380000000000003</v>
      </c>
      <c r="H1748">
        <v>21</v>
      </c>
      <c r="I1748">
        <v>11034</v>
      </c>
    </row>
    <row r="1749" spans="1:9" x14ac:dyDescent="0.35">
      <c r="A1749" t="s">
        <v>9</v>
      </c>
      <c r="B1749" t="s">
        <v>1628</v>
      </c>
      <c r="C1749" t="s">
        <v>1727</v>
      </c>
      <c r="D1749" t="str">
        <f>"221403"</f>
        <v>221403</v>
      </c>
      <c r="E1749">
        <v>2630</v>
      </c>
      <c r="F1749">
        <v>1328</v>
      </c>
      <c r="G1749" s="1">
        <v>0.50490000000000002</v>
      </c>
      <c r="H1749">
        <v>6</v>
      </c>
      <c r="I1749">
        <v>2616</v>
      </c>
    </row>
    <row r="1750" spans="1:9" x14ac:dyDescent="0.35">
      <c r="A1750" t="s">
        <v>9</v>
      </c>
      <c r="B1750" t="s">
        <v>1628</v>
      </c>
      <c r="C1750" t="s">
        <v>1728</v>
      </c>
      <c r="D1750" t="str">
        <f>"221404"</f>
        <v>221404</v>
      </c>
      <c r="E1750">
        <v>11459</v>
      </c>
      <c r="F1750">
        <v>6128</v>
      </c>
      <c r="G1750" s="1">
        <v>0.53480000000000005</v>
      </c>
      <c r="H1750">
        <v>16</v>
      </c>
      <c r="I1750">
        <v>11399</v>
      </c>
    </row>
    <row r="1751" spans="1:9" x14ac:dyDescent="0.35">
      <c r="A1751" t="s">
        <v>9</v>
      </c>
      <c r="B1751" t="s">
        <v>1628</v>
      </c>
      <c r="C1751" t="s">
        <v>1729</v>
      </c>
      <c r="D1751" t="str">
        <f>"221405"</f>
        <v>221405</v>
      </c>
      <c r="E1751">
        <v>4072</v>
      </c>
      <c r="F1751">
        <v>2284</v>
      </c>
      <c r="G1751" s="1">
        <v>0.56089999999999995</v>
      </c>
      <c r="H1751">
        <v>7</v>
      </c>
      <c r="I1751">
        <v>4060</v>
      </c>
    </row>
    <row r="1752" spans="1:9" x14ac:dyDescent="0.35">
      <c r="A1752" t="s">
        <v>9</v>
      </c>
      <c r="B1752" t="s">
        <v>1628</v>
      </c>
      <c r="C1752" t="s">
        <v>1730</v>
      </c>
      <c r="D1752" t="str">
        <f>"221406"</f>
        <v>221406</v>
      </c>
      <c r="E1752">
        <v>11281</v>
      </c>
      <c r="F1752">
        <v>6845</v>
      </c>
      <c r="G1752" s="1">
        <v>0.60680000000000001</v>
      </c>
      <c r="H1752">
        <v>18</v>
      </c>
      <c r="I1752">
        <v>11205</v>
      </c>
    </row>
    <row r="1753" spans="1:9" x14ac:dyDescent="0.35">
      <c r="A1753" t="s">
        <v>9</v>
      </c>
      <c r="B1753" t="s">
        <v>1628</v>
      </c>
      <c r="C1753" t="s">
        <v>1731</v>
      </c>
      <c r="D1753" t="str">
        <f>"221501"</f>
        <v>221501</v>
      </c>
      <c r="E1753">
        <v>19383</v>
      </c>
      <c r="F1753">
        <v>10276</v>
      </c>
      <c r="G1753" s="1">
        <v>0.5302</v>
      </c>
      <c r="H1753">
        <v>9</v>
      </c>
      <c r="I1753">
        <v>19202</v>
      </c>
    </row>
    <row r="1754" spans="1:9" x14ac:dyDescent="0.35">
      <c r="A1754" t="s">
        <v>9</v>
      </c>
      <c r="B1754" t="s">
        <v>1628</v>
      </c>
      <c r="C1754" t="s">
        <v>1732</v>
      </c>
      <c r="D1754" t="str">
        <f>"221502"</f>
        <v>221502</v>
      </c>
      <c r="E1754">
        <v>38103</v>
      </c>
      <c r="F1754">
        <v>24330</v>
      </c>
      <c r="G1754" s="1">
        <v>0.63849999999999996</v>
      </c>
      <c r="H1754">
        <v>21</v>
      </c>
      <c r="I1754">
        <v>37786</v>
      </c>
    </row>
    <row r="1755" spans="1:9" x14ac:dyDescent="0.35">
      <c r="A1755" t="s">
        <v>9</v>
      </c>
      <c r="B1755" t="s">
        <v>1628</v>
      </c>
      <c r="C1755" t="s">
        <v>1733</v>
      </c>
      <c r="D1755" t="str">
        <f>"221503"</f>
        <v>221503</v>
      </c>
      <c r="E1755">
        <v>32971</v>
      </c>
      <c r="F1755">
        <v>18925</v>
      </c>
      <c r="G1755" s="1">
        <v>0.57399999999999995</v>
      </c>
      <c r="H1755">
        <v>17</v>
      </c>
      <c r="I1755">
        <v>32783</v>
      </c>
    </row>
    <row r="1756" spans="1:9" x14ac:dyDescent="0.35">
      <c r="A1756" t="s">
        <v>9</v>
      </c>
      <c r="B1756" t="s">
        <v>1628</v>
      </c>
      <c r="C1756" t="s">
        <v>1734</v>
      </c>
      <c r="D1756" t="str">
        <f>"221504"</f>
        <v>221504</v>
      </c>
      <c r="E1756">
        <v>4218</v>
      </c>
      <c r="F1756">
        <v>2348</v>
      </c>
      <c r="G1756" s="1">
        <v>0.55669999999999997</v>
      </c>
      <c r="H1756">
        <v>7</v>
      </c>
      <c r="I1756">
        <v>4144</v>
      </c>
    </row>
    <row r="1757" spans="1:9" x14ac:dyDescent="0.35">
      <c r="A1757" t="s">
        <v>9</v>
      </c>
      <c r="B1757" t="s">
        <v>1628</v>
      </c>
      <c r="C1757" t="s">
        <v>1735</v>
      </c>
      <c r="D1757" t="str">
        <f>"221505"</f>
        <v>221505</v>
      </c>
      <c r="E1757">
        <v>5336</v>
      </c>
      <c r="F1757">
        <v>3088</v>
      </c>
      <c r="G1757" s="1">
        <v>0.57869999999999999</v>
      </c>
      <c r="H1757">
        <v>10</v>
      </c>
      <c r="I1757">
        <v>5305</v>
      </c>
    </row>
    <row r="1758" spans="1:9" x14ac:dyDescent="0.35">
      <c r="A1758" t="s">
        <v>9</v>
      </c>
      <c r="B1758" t="s">
        <v>1628</v>
      </c>
      <c r="C1758" t="s">
        <v>1736</v>
      </c>
      <c r="D1758" t="str">
        <f>"221506"</f>
        <v>221506</v>
      </c>
      <c r="E1758">
        <v>4681</v>
      </c>
      <c r="F1758">
        <v>2795</v>
      </c>
      <c r="G1758" s="1">
        <v>0.59709999999999996</v>
      </c>
      <c r="H1758">
        <v>6</v>
      </c>
      <c r="I1758">
        <v>4663</v>
      </c>
    </row>
    <row r="1759" spans="1:9" x14ac:dyDescent="0.35">
      <c r="A1759" t="s">
        <v>9</v>
      </c>
      <c r="B1759" t="s">
        <v>1628</v>
      </c>
      <c r="C1759" t="s">
        <v>1737</v>
      </c>
      <c r="D1759" t="str">
        <f>"221507"</f>
        <v>221507</v>
      </c>
      <c r="E1759">
        <v>12307</v>
      </c>
      <c r="F1759">
        <v>7315</v>
      </c>
      <c r="G1759" s="1">
        <v>0.59440000000000004</v>
      </c>
      <c r="H1759">
        <v>13</v>
      </c>
      <c r="I1759">
        <v>12248</v>
      </c>
    </row>
    <row r="1760" spans="1:9" x14ac:dyDescent="0.35">
      <c r="A1760" t="s">
        <v>9</v>
      </c>
      <c r="B1760" t="s">
        <v>1628</v>
      </c>
      <c r="C1760" t="s">
        <v>1738</v>
      </c>
      <c r="D1760" t="str">
        <f>"221508"</f>
        <v>221508</v>
      </c>
      <c r="E1760">
        <v>8656</v>
      </c>
      <c r="F1760">
        <v>4702</v>
      </c>
      <c r="G1760" s="1">
        <v>0.54320000000000002</v>
      </c>
      <c r="H1760">
        <v>11</v>
      </c>
      <c r="I1760">
        <v>8598</v>
      </c>
    </row>
    <row r="1761" spans="1:9" x14ac:dyDescent="0.35">
      <c r="A1761" t="s">
        <v>9</v>
      </c>
      <c r="B1761" t="s">
        <v>1628</v>
      </c>
      <c r="C1761" t="s">
        <v>1739</v>
      </c>
      <c r="D1761" t="str">
        <f>"221509"</f>
        <v>221509</v>
      </c>
      <c r="E1761">
        <v>14787</v>
      </c>
      <c r="F1761">
        <v>8757</v>
      </c>
      <c r="G1761" s="1">
        <v>0.59219999999999995</v>
      </c>
      <c r="H1761">
        <v>11</v>
      </c>
      <c r="I1761">
        <v>14677</v>
      </c>
    </row>
    <row r="1762" spans="1:9" x14ac:dyDescent="0.35">
      <c r="A1762" t="s">
        <v>9</v>
      </c>
      <c r="B1762" t="s">
        <v>1628</v>
      </c>
      <c r="C1762" t="s">
        <v>1740</v>
      </c>
      <c r="D1762" t="str">
        <f>"221510"</f>
        <v>221510</v>
      </c>
      <c r="E1762">
        <v>20321</v>
      </c>
      <c r="F1762">
        <v>12282</v>
      </c>
      <c r="G1762" s="1">
        <v>0.60440000000000005</v>
      </c>
      <c r="H1762">
        <v>17</v>
      </c>
      <c r="I1762">
        <v>20242</v>
      </c>
    </row>
    <row r="1763" spans="1:9" x14ac:dyDescent="0.35">
      <c r="A1763" t="s">
        <v>9</v>
      </c>
      <c r="B1763" t="s">
        <v>1628</v>
      </c>
      <c r="C1763" t="s">
        <v>1741</v>
      </c>
      <c r="D1763" t="str">
        <f>"221601"</f>
        <v>221601</v>
      </c>
      <c r="E1763">
        <v>6556</v>
      </c>
      <c r="F1763">
        <v>3334</v>
      </c>
      <c r="G1763" s="1">
        <v>0.50849999999999995</v>
      </c>
      <c r="H1763">
        <v>12</v>
      </c>
      <c r="I1763">
        <v>6538</v>
      </c>
    </row>
    <row r="1764" spans="1:9" x14ac:dyDescent="0.35">
      <c r="A1764" t="s">
        <v>9</v>
      </c>
      <c r="B1764" t="s">
        <v>1628</v>
      </c>
      <c r="C1764" t="s">
        <v>1742</v>
      </c>
      <c r="D1764" t="str">
        <f>"221602"</f>
        <v>221602</v>
      </c>
      <c r="E1764">
        <v>2541</v>
      </c>
      <c r="F1764">
        <v>1217</v>
      </c>
      <c r="G1764" s="1">
        <v>0.47889999999999999</v>
      </c>
      <c r="H1764">
        <v>4</v>
      </c>
      <c r="I1764">
        <v>2538</v>
      </c>
    </row>
    <row r="1765" spans="1:9" x14ac:dyDescent="0.35">
      <c r="A1765" t="s">
        <v>9</v>
      </c>
      <c r="B1765" t="s">
        <v>1628</v>
      </c>
      <c r="C1765" t="s">
        <v>1743</v>
      </c>
      <c r="D1765" t="str">
        <f>"221603"</f>
        <v>221603</v>
      </c>
      <c r="E1765">
        <v>2858</v>
      </c>
      <c r="F1765">
        <v>1268</v>
      </c>
      <c r="G1765" s="1">
        <v>0.44369999999999998</v>
      </c>
      <c r="H1765">
        <v>5</v>
      </c>
      <c r="I1765">
        <v>2838</v>
      </c>
    </row>
    <row r="1766" spans="1:9" x14ac:dyDescent="0.35">
      <c r="A1766" t="s">
        <v>9</v>
      </c>
      <c r="B1766" t="s">
        <v>1628</v>
      </c>
      <c r="C1766" t="s">
        <v>1744</v>
      </c>
      <c r="D1766" t="str">
        <f>"221604"</f>
        <v>221604</v>
      </c>
      <c r="E1766">
        <v>4487</v>
      </c>
      <c r="F1766">
        <v>1994</v>
      </c>
      <c r="G1766" s="1">
        <v>0.44440000000000002</v>
      </c>
      <c r="H1766">
        <v>6</v>
      </c>
      <c r="I1766">
        <v>4475</v>
      </c>
    </row>
    <row r="1767" spans="1:9" x14ac:dyDescent="0.35">
      <c r="A1767" t="s">
        <v>9</v>
      </c>
      <c r="B1767" t="s">
        <v>1628</v>
      </c>
      <c r="C1767" t="s">
        <v>1745</v>
      </c>
      <c r="D1767" t="str">
        <f>"221605"</f>
        <v>221605</v>
      </c>
      <c r="E1767">
        <v>12852</v>
      </c>
      <c r="F1767">
        <v>6748</v>
      </c>
      <c r="G1767" s="1">
        <v>0.52510000000000001</v>
      </c>
      <c r="H1767">
        <v>14</v>
      </c>
      <c r="I1767">
        <v>12823</v>
      </c>
    </row>
    <row r="1768" spans="1:9" x14ac:dyDescent="0.35">
      <c r="A1768" t="s">
        <v>9</v>
      </c>
      <c r="B1768" t="s">
        <v>1628</v>
      </c>
      <c r="C1768" t="s">
        <v>1746</v>
      </c>
      <c r="D1768" t="str">
        <f>"226101"</f>
        <v>226101</v>
      </c>
      <c r="E1768">
        <v>363518</v>
      </c>
      <c r="F1768">
        <v>194188</v>
      </c>
      <c r="G1768" s="1">
        <v>0.53420000000000001</v>
      </c>
      <c r="H1768">
        <v>184</v>
      </c>
      <c r="I1768">
        <v>357226</v>
      </c>
    </row>
    <row r="1769" spans="1:9" x14ac:dyDescent="0.35">
      <c r="A1769" t="s">
        <v>9</v>
      </c>
      <c r="B1769" t="s">
        <v>1628</v>
      </c>
      <c r="C1769" t="s">
        <v>1747</v>
      </c>
      <c r="D1769" t="str">
        <f>"226201"</f>
        <v>226201</v>
      </c>
      <c r="E1769">
        <v>180557</v>
      </c>
      <c r="F1769">
        <v>111299</v>
      </c>
      <c r="G1769" s="1">
        <v>0.61639999999999995</v>
      </c>
      <c r="H1769">
        <v>114</v>
      </c>
      <c r="I1769">
        <v>178710</v>
      </c>
    </row>
    <row r="1770" spans="1:9" x14ac:dyDescent="0.35">
      <c r="A1770" t="s">
        <v>9</v>
      </c>
      <c r="B1770" t="s">
        <v>1628</v>
      </c>
      <c r="C1770" t="s">
        <v>1748</v>
      </c>
      <c r="D1770" t="str">
        <f>"226301"</f>
        <v>226301</v>
      </c>
      <c r="E1770">
        <v>62596</v>
      </c>
      <c r="F1770">
        <v>36352</v>
      </c>
      <c r="G1770" s="1">
        <v>0.58069999999999999</v>
      </c>
      <c r="H1770">
        <v>43</v>
      </c>
      <c r="I1770">
        <v>61795</v>
      </c>
    </row>
    <row r="1771" spans="1:9" x14ac:dyDescent="0.35">
      <c r="A1771" t="s">
        <v>9</v>
      </c>
      <c r="B1771" t="s">
        <v>1628</v>
      </c>
      <c r="C1771" t="s">
        <v>1749</v>
      </c>
      <c r="D1771" t="str">
        <f>"226401"</f>
        <v>226401</v>
      </c>
      <c r="E1771">
        <v>27411</v>
      </c>
      <c r="F1771">
        <v>17378</v>
      </c>
      <c r="G1771" s="1">
        <v>0.63400000000000001</v>
      </c>
      <c r="H1771">
        <v>21</v>
      </c>
      <c r="I1771">
        <v>26475</v>
      </c>
    </row>
    <row r="1772" spans="1:9" x14ac:dyDescent="0.35">
      <c r="A1772" t="s">
        <v>9</v>
      </c>
      <c r="B1772" t="s">
        <v>1750</v>
      </c>
      <c r="C1772" t="s">
        <v>1751</v>
      </c>
      <c r="D1772" t="str">
        <f>"240101"</f>
        <v>240101</v>
      </c>
      <c r="E1772">
        <v>40289</v>
      </c>
      <c r="F1772">
        <v>23186</v>
      </c>
      <c r="G1772" s="1">
        <v>0.57550000000000001</v>
      </c>
      <c r="H1772">
        <v>27</v>
      </c>
      <c r="I1772">
        <v>39856</v>
      </c>
    </row>
    <row r="1773" spans="1:9" x14ac:dyDescent="0.35">
      <c r="A1773" t="s">
        <v>9</v>
      </c>
      <c r="B1773" t="s">
        <v>1750</v>
      </c>
      <c r="C1773" t="s">
        <v>1752</v>
      </c>
      <c r="D1773" t="str">
        <f>"240102"</f>
        <v>240102</v>
      </c>
      <c r="E1773">
        <v>23210</v>
      </c>
      <c r="F1773">
        <v>14051</v>
      </c>
      <c r="G1773" s="1">
        <v>0.60540000000000005</v>
      </c>
      <c r="H1773">
        <v>21</v>
      </c>
      <c r="I1773">
        <v>22961</v>
      </c>
    </row>
    <row r="1774" spans="1:9" x14ac:dyDescent="0.35">
      <c r="A1774" t="s">
        <v>9</v>
      </c>
      <c r="B1774" t="s">
        <v>1750</v>
      </c>
      <c r="C1774" t="s">
        <v>1753</v>
      </c>
      <c r="D1774" t="str">
        <f>"240103"</f>
        <v>240103</v>
      </c>
      <c r="E1774">
        <v>6772</v>
      </c>
      <c r="F1774">
        <v>4172</v>
      </c>
      <c r="G1774" s="1">
        <v>0.61609999999999998</v>
      </c>
      <c r="H1774">
        <v>5</v>
      </c>
      <c r="I1774">
        <v>6764</v>
      </c>
    </row>
    <row r="1775" spans="1:9" x14ac:dyDescent="0.35">
      <c r="A1775" t="s">
        <v>9</v>
      </c>
      <c r="B1775" t="s">
        <v>1750</v>
      </c>
      <c r="C1775" t="s">
        <v>237</v>
      </c>
      <c r="D1775" t="str">
        <f>"240104"</f>
        <v>240104</v>
      </c>
      <c r="E1775">
        <v>9746</v>
      </c>
      <c r="F1775">
        <v>5788</v>
      </c>
      <c r="G1775" s="1">
        <v>0.59389999999999998</v>
      </c>
      <c r="H1775">
        <v>10</v>
      </c>
      <c r="I1775">
        <v>9699</v>
      </c>
    </row>
    <row r="1776" spans="1:9" x14ac:dyDescent="0.35">
      <c r="A1776" t="s">
        <v>9</v>
      </c>
      <c r="B1776" t="s">
        <v>1750</v>
      </c>
      <c r="C1776" t="s">
        <v>1754</v>
      </c>
      <c r="D1776" t="str">
        <f>"240105"</f>
        <v>240105</v>
      </c>
      <c r="E1776">
        <v>6177</v>
      </c>
      <c r="F1776">
        <v>3517</v>
      </c>
      <c r="G1776" s="1">
        <v>0.56940000000000002</v>
      </c>
      <c r="H1776">
        <v>8</v>
      </c>
      <c r="I1776">
        <v>6104</v>
      </c>
    </row>
    <row r="1777" spans="1:9" x14ac:dyDescent="0.35">
      <c r="A1777" t="s">
        <v>9</v>
      </c>
      <c r="B1777" t="s">
        <v>1750</v>
      </c>
      <c r="C1777" t="s">
        <v>1755</v>
      </c>
      <c r="D1777" t="str">
        <f>"240106"</f>
        <v>240106</v>
      </c>
      <c r="E1777">
        <v>9767</v>
      </c>
      <c r="F1777">
        <v>5914</v>
      </c>
      <c r="G1777" s="1">
        <v>0.60550000000000004</v>
      </c>
      <c r="H1777">
        <v>9</v>
      </c>
      <c r="I1777">
        <v>9723</v>
      </c>
    </row>
    <row r="1778" spans="1:9" x14ac:dyDescent="0.35">
      <c r="A1778" t="s">
        <v>9</v>
      </c>
      <c r="B1778" t="s">
        <v>1750</v>
      </c>
      <c r="C1778" t="s">
        <v>1756</v>
      </c>
      <c r="D1778" t="str">
        <f>"240107"</f>
        <v>240107</v>
      </c>
      <c r="E1778">
        <v>9977</v>
      </c>
      <c r="F1778">
        <v>6028</v>
      </c>
      <c r="G1778" s="1">
        <v>0.60419999999999996</v>
      </c>
      <c r="H1778">
        <v>8</v>
      </c>
      <c r="I1778">
        <v>9914</v>
      </c>
    </row>
    <row r="1779" spans="1:9" x14ac:dyDescent="0.35">
      <c r="A1779" t="s">
        <v>9</v>
      </c>
      <c r="B1779" t="s">
        <v>1750</v>
      </c>
      <c r="C1779" t="s">
        <v>1757</v>
      </c>
      <c r="D1779" t="str">
        <f>"240108"</f>
        <v>240108</v>
      </c>
      <c r="E1779">
        <v>5362</v>
      </c>
      <c r="F1779">
        <v>3239</v>
      </c>
      <c r="G1779" s="1">
        <v>0.60409999999999997</v>
      </c>
      <c r="H1779">
        <v>5</v>
      </c>
      <c r="I1779">
        <v>5313</v>
      </c>
    </row>
    <row r="1780" spans="1:9" x14ac:dyDescent="0.35">
      <c r="A1780" t="s">
        <v>9</v>
      </c>
      <c r="B1780" t="s">
        <v>1750</v>
      </c>
      <c r="C1780" t="s">
        <v>1758</v>
      </c>
      <c r="D1780" t="str">
        <f>"240201"</f>
        <v>240201</v>
      </c>
      <c r="E1780">
        <v>4783</v>
      </c>
      <c r="F1780">
        <v>2951</v>
      </c>
      <c r="G1780" s="1">
        <v>0.61699999999999999</v>
      </c>
      <c r="H1780">
        <v>4</v>
      </c>
      <c r="I1780">
        <v>4491</v>
      </c>
    </row>
    <row r="1781" spans="1:9" x14ac:dyDescent="0.35">
      <c r="A1781" t="s">
        <v>9</v>
      </c>
      <c r="B1781" t="s">
        <v>1750</v>
      </c>
      <c r="C1781" t="s">
        <v>1759</v>
      </c>
      <c r="D1781" t="str">
        <f>"240202"</f>
        <v>240202</v>
      </c>
      <c r="E1781">
        <v>9192</v>
      </c>
      <c r="F1781">
        <v>5961</v>
      </c>
      <c r="G1781" s="1">
        <v>0.64849999999999997</v>
      </c>
      <c r="H1781">
        <v>6</v>
      </c>
      <c r="I1781">
        <v>9171</v>
      </c>
    </row>
    <row r="1782" spans="1:9" x14ac:dyDescent="0.35">
      <c r="A1782" t="s">
        <v>9</v>
      </c>
      <c r="B1782" t="s">
        <v>1750</v>
      </c>
      <c r="C1782" t="s">
        <v>1760</v>
      </c>
      <c r="D1782" t="str">
        <f>"240203"</f>
        <v>240203</v>
      </c>
      <c r="E1782">
        <v>8435</v>
      </c>
      <c r="F1782">
        <v>4978</v>
      </c>
      <c r="G1782" s="1">
        <v>0.59019999999999995</v>
      </c>
      <c r="H1782">
        <v>6</v>
      </c>
      <c r="I1782">
        <v>8343</v>
      </c>
    </row>
    <row r="1783" spans="1:9" x14ac:dyDescent="0.35">
      <c r="A1783" t="s">
        <v>9</v>
      </c>
      <c r="B1783" t="s">
        <v>1750</v>
      </c>
      <c r="C1783" t="s">
        <v>1761</v>
      </c>
      <c r="D1783" t="str">
        <f>"240204"</f>
        <v>240204</v>
      </c>
      <c r="E1783">
        <v>33225</v>
      </c>
      <c r="F1783">
        <v>20721</v>
      </c>
      <c r="G1783" s="1">
        <v>0.62370000000000003</v>
      </c>
      <c r="H1783">
        <v>22</v>
      </c>
      <c r="I1783">
        <v>33088</v>
      </c>
    </row>
    <row r="1784" spans="1:9" x14ac:dyDescent="0.35">
      <c r="A1784" t="s">
        <v>9</v>
      </c>
      <c r="B1784" t="s">
        <v>1750</v>
      </c>
      <c r="C1784" t="s">
        <v>1762</v>
      </c>
      <c r="D1784" t="str">
        <f>"240205"</f>
        <v>240205</v>
      </c>
      <c r="E1784">
        <v>18459</v>
      </c>
      <c r="F1784">
        <v>11719</v>
      </c>
      <c r="G1784" s="1">
        <v>0.63490000000000002</v>
      </c>
      <c r="H1784">
        <v>20</v>
      </c>
      <c r="I1784">
        <v>18391</v>
      </c>
    </row>
    <row r="1785" spans="1:9" x14ac:dyDescent="0.35">
      <c r="A1785" t="s">
        <v>9</v>
      </c>
      <c r="B1785" t="s">
        <v>1750</v>
      </c>
      <c r="C1785" t="s">
        <v>1763</v>
      </c>
      <c r="D1785" t="str">
        <f>"240206"</f>
        <v>240206</v>
      </c>
      <c r="E1785">
        <v>5585</v>
      </c>
      <c r="F1785">
        <v>3650</v>
      </c>
      <c r="G1785" s="1">
        <v>0.65349999999999997</v>
      </c>
      <c r="H1785">
        <v>3</v>
      </c>
      <c r="I1785">
        <v>5533</v>
      </c>
    </row>
    <row r="1786" spans="1:9" x14ac:dyDescent="0.35">
      <c r="A1786" t="s">
        <v>9</v>
      </c>
      <c r="B1786" t="s">
        <v>1750</v>
      </c>
      <c r="C1786" t="s">
        <v>1764</v>
      </c>
      <c r="D1786" t="str">
        <f>"240207"</f>
        <v>240207</v>
      </c>
      <c r="E1786">
        <v>9915</v>
      </c>
      <c r="F1786">
        <v>6512</v>
      </c>
      <c r="G1786" s="1">
        <v>0.65680000000000005</v>
      </c>
      <c r="H1786">
        <v>5</v>
      </c>
      <c r="I1786">
        <v>9868</v>
      </c>
    </row>
    <row r="1787" spans="1:9" x14ac:dyDescent="0.35">
      <c r="A1787" t="s">
        <v>9</v>
      </c>
      <c r="B1787" t="s">
        <v>1750</v>
      </c>
      <c r="C1787" t="s">
        <v>1765</v>
      </c>
      <c r="D1787" t="str">
        <f>"240208"</f>
        <v>240208</v>
      </c>
      <c r="E1787">
        <v>12011</v>
      </c>
      <c r="F1787">
        <v>7035</v>
      </c>
      <c r="G1787" s="1">
        <v>0.5857</v>
      </c>
      <c r="H1787">
        <v>8</v>
      </c>
      <c r="I1787">
        <v>11955</v>
      </c>
    </row>
    <row r="1788" spans="1:9" x14ac:dyDescent="0.35">
      <c r="A1788" t="s">
        <v>9</v>
      </c>
      <c r="B1788" t="s">
        <v>1750</v>
      </c>
      <c r="C1788" t="s">
        <v>1766</v>
      </c>
      <c r="D1788" t="str">
        <f>"240209"</f>
        <v>240209</v>
      </c>
      <c r="E1788">
        <v>13546</v>
      </c>
      <c r="F1788">
        <v>8654</v>
      </c>
      <c r="G1788" s="1">
        <v>0.63890000000000002</v>
      </c>
      <c r="H1788">
        <v>8</v>
      </c>
      <c r="I1788">
        <v>13524</v>
      </c>
    </row>
    <row r="1789" spans="1:9" x14ac:dyDescent="0.35">
      <c r="A1789" t="s">
        <v>9</v>
      </c>
      <c r="B1789" t="s">
        <v>1750</v>
      </c>
      <c r="C1789" t="s">
        <v>1767</v>
      </c>
      <c r="D1789" t="str">
        <f>"240210"</f>
        <v>240210</v>
      </c>
      <c r="E1789">
        <v>10255</v>
      </c>
      <c r="F1789">
        <v>6339</v>
      </c>
      <c r="G1789" s="1">
        <v>0.61809999999999998</v>
      </c>
      <c r="H1789">
        <v>7</v>
      </c>
      <c r="I1789">
        <v>10142</v>
      </c>
    </row>
    <row r="1790" spans="1:9" x14ac:dyDescent="0.35">
      <c r="A1790" t="s">
        <v>9</v>
      </c>
      <c r="B1790" t="s">
        <v>1750</v>
      </c>
      <c r="C1790" t="s">
        <v>1768</v>
      </c>
      <c r="D1790" t="str">
        <f>"240301"</f>
        <v>240301</v>
      </c>
      <c r="E1790">
        <v>24423</v>
      </c>
      <c r="F1790">
        <v>14927</v>
      </c>
      <c r="G1790" s="1">
        <v>0.61119999999999997</v>
      </c>
      <c r="H1790">
        <v>20</v>
      </c>
      <c r="I1790">
        <v>23984</v>
      </c>
    </row>
    <row r="1791" spans="1:9" x14ac:dyDescent="0.35">
      <c r="A1791" t="s">
        <v>9</v>
      </c>
      <c r="B1791" t="s">
        <v>1750</v>
      </c>
      <c r="C1791" t="s">
        <v>1769</v>
      </c>
      <c r="D1791" t="str">
        <f>"240302"</f>
        <v>240302</v>
      </c>
      <c r="E1791">
        <v>23082</v>
      </c>
      <c r="F1791">
        <v>7541</v>
      </c>
      <c r="G1791" s="1">
        <v>0.32669999999999999</v>
      </c>
      <c r="H1791">
        <v>9</v>
      </c>
      <c r="I1791">
        <v>12228</v>
      </c>
    </row>
    <row r="1792" spans="1:9" x14ac:dyDescent="0.35">
      <c r="A1792" t="s">
        <v>9</v>
      </c>
      <c r="B1792" t="s">
        <v>1750</v>
      </c>
      <c r="C1792" t="s">
        <v>1770</v>
      </c>
      <c r="D1792" t="str">
        <f>"240303"</f>
        <v>240303</v>
      </c>
      <c r="E1792">
        <v>9012</v>
      </c>
      <c r="F1792">
        <v>5033</v>
      </c>
      <c r="G1792" s="1">
        <v>0.5585</v>
      </c>
      <c r="H1792">
        <v>8</v>
      </c>
      <c r="I1792">
        <v>8585</v>
      </c>
    </row>
    <row r="1793" spans="1:9" x14ac:dyDescent="0.35">
      <c r="A1793" t="s">
        <v>9</v>
      </c>
      <c r="B1793" t="s">
        <v>1750</v>
      </c>
      <c r="C1793" t="s">
        <v>1771</v>
      </c>
      <c r="D1793" t="str">
        <f>"240304"</f>
        <v>240304</v>
      </c>
      <c r="E1793">
        <v>8991</v>
      </c>
      <c r="F1793">
        <v>5232</v>
      </c>
      <c r="G1793" s="1">
        <v>0.58189999999999997</v>
      </c>
      <c r="H1793">
        <v>8</v>
      </c>
      <c r="I1793">
        <v>8717</v>
      </c>
    </row>
    <row r="1794" spans="1:9" x14ac:dyDescent="0.35">
      <c r="A1794" t="s">
        <v>9</v>
      </c>
      <c r="B1794" t="s">
        <v>1750</v>
      </c>
      <c r="C1794" t="s">
        <v>1772</v>
      </c>
      <c r="D1794" t="str">
        <f>"240305"</f>
        <v>240305</v>
      </c>
      <c r="E1794">
        <v>7289</v>
      </c>
      <c r="F1794">
        <v>4217</v>
      </c>
      <c r="G1794" s="1">
        <v>0.57850000000000001</v>
      </c>
      <c r="H1794">
        <v>6</v>
      </c>
      <c r="I1794">
        <v>7257</v>
      </c>
    </row>
    <row r="1795" spans="1:9" x14ac:dyDescent="0.35">
      <c r="A1795" t="s">
        <v>9</v>
      </c>
      <c r="B1795" t="s">
        <v>1750</v>
      </c>
      <c r="C1795" t="s">
        <v>1385</v>
      </c>
      <c r="D1795" t="str">
        <f>"240306"</f>
        <v>240306</v>
      </c>
      <c r="E1795">
        <v>4383</v>
      </c>
      <c r="F1795">
        <v>2674</v>
      </c>
      <c r="G1795" s="1">
        <v>0.61009999999999998</v>
      </c>
      <c r="H1795">
        <v>5</v>
      </c>
      <c r="I1795">
        <v>4367</v>
      </c>
    </row>
    <row r="1796" spans="1:9" x14ac:dyDescent="0.35">
      <c r="A1796" t="s">
        <v>9</v>
      </c>
      <c r="B1796" t="s">
        <v>1750</v>
      </c>
      <c r="C1796" t="s">
        <v>1773</v>
      </c>
      <c r="D1796" t="str">
        <f>"240307"</f>
        <v>240307</v>
      </c>
      <c r="E1796">
        <v>9915</v>
      </c>
      <c r="F1796">
        <v>5975</v>
      </c>
      <c r="G1796" s="1">
        <v>0.60260000000000002</v>
      </c>
      <c r="H1796">
        <v>11</v>
      </c>
      <c r="I1796">
        <v>9862</v>
      </c>
    </row>
    <row r="1797" spans="1:9" x14ac:dyDescent="0.35">
      <c r="A1797" t="s">
        <v>9</v>
      </c>
      <c r="B1797" t="s">
        <v>1750</v>
      </c>
      <c r="C1797" t="s">
        <v>1774</v>
      </c>
      <c r="D1797" t="str">
        <f>"240308"</f>
        <v>240308</v>
      </c>
      <c r="E1797">
        <v>8096</v>
      </c>
      <c r="F1797">
        <v>4673</v>
      </c>
      <c r="G1797" s="1">
        <v>0.57720000000000005</v>
      </c>
      <c r="H1797">
        <v>7</v>
      </c>
      <c r="I1797">
        <v>8070</v>
      </c>
    </row>
    <row r="1798" spans="1:9" x14ac:dyDescent="0.35">
      <c r="A1798" t="s">
        <v>9</v>
      </c>
      <c r="B1798" t="s">
        <v>1750</v>
      </c>
      <c r="C1798" t="s">
        <v>1775</v>
      </c>
      <c r="D1798" t="str">
        <f>"240309"</f>
        <v>240309</v>
      </c>
      <c r="E1798">
        <v>9086</v>
      </c>
      <c r="F1798">
        <v>5206</v>
      </c>
      <c r="G1798" s="1">
        <v>0.57299999999999995</v>
      </c>
      <c r="H1798">
        <v>6</v>
      </c>
      <c r="I1798">
        <v>8958</v>
      </c>
    </row>
    <row r="1799" spans="1:9" x14ac:dyDescent="0.35">
      <c r="A1799" t="s">
        <v>9</v>
      </c>
      <c r="B1799" t="s">
        <v>1750</v>
      </c>
      <c r="C1799" t="s">
        <v>1776</v>
      </c>
      <c r="D1799" t="str">
        <f>"240310"</f>
        <v>240310</v>
      </c>
      <c r="E1799">
        <v>19495</v>
      </c>
      <c r="F1799">
        <v>11095</v>
      </c>
      <c r="G1799" s="1">
        <v>0.56910000000000005</v>
      </c>
      <c r="H1799">
        <v>17</v>
      </c>
      <c r="I1799">
        <v>19408</v>
      </c>
    </row>
    <row r="1800" spans="1:9" x14ac:dyDescent="0.35">
      <c r="A1800" t="s">
        <v>9</v>
      </c>
      <c r="B1800" t="s">
        <v>1750</v>
      </c>
      <c r="C1800" t="s">
        <v>1777</v>
      </c>
      <c r="D1800" t="str">
        <f>"240311"</f>
        <v>240311</v>
      </c>
      <c r="E1800">
        <v>9927</v>
      </c>
      <c r="F1800">
        <v>6082</v>
      </c>
      <c r="G1800" s="1">
        <v>0.61270000000000002</v>
      </c>
      <c r="H1800">
        <v>8</v>
      </c>
      <c r="I1800">
        <v>9857</v>
      </c>
    </row>
    <row r="1801" spans="1:9" x14ac:dyDescent="0.35">
      <c r="A1801" t="s">
        <v>9</v>
      </c>
      <c r="B1801" t="s">
        <v>1750</v>
      </c>
      <c r="C1801" t="s">
        <v>1778</v>
      </c>
      <c r="D1801" t="str">
        <f>"240312"</f>
        <v>240312</v>
      </c>
      <c r="E1801">
        <v>9876</v>
      </c>
      <c r="F1801">
        <v>5819</v>
      </c>
      <c r="G1801" s="1">
        <v>0.58919999999999995</v>
      </c>
      <c r="H1801">
        <v>8</v>
      </c>
      <c r="I1801">
        <v>9812</v>
      </c>
    </row>
    <row r="1802" spans="1:9" x14ac:dyDescent="0.35">
      <c r="A1802" t="s">
        <v>9</v>
      </c>
      <c r="B1802" t="s">
        <v>1750</v>
      </c>
      <c r="C1802" t="s">
        <v>1779</v>
      </c>
      <c r="D1802" t="str">
        <f>"240401"</f>
        <v>240401</v>
      </c>
      <c r="E1802">
        <v>9663</v>
      </c>
      <c r="F1802">
        <v>5409</v>
      </c>
      <c r="G1802" s="1">
        <v>0.55979999999999996</v>
      </c>
      <c r="H1802">
        <v>6</v>
      </c>
      <c r="I1802">
        <v>9601</v>
      </c>
    </row>
    <row r="1803" spans="1:9" x14ac:dyDescent="0.35">
      <c r="A1803" t="s">
        <v>9</v>
      </c>
      <c r="B1803" t="s">
        <v>1750</v>
      </c>
      <c r="C1803" t="s">
        <v>1780</v>
      </c>
      <c r="D1803" t="str">
        <f>"240402"</f>
        <v>240402</v>
      </c>
      <c r="E1803">
        <v>3130</v>
      </c>
      <c r="F1803">
        <v>1705</v>
      </c>
      <c r="G1803" s="1">
        <v>0.54469999999999996</v>
      </c>
      <c r="H1803">
        <v>4</v>
      </c>
      <c r="I1803">
        <v>3096</v>
      </c>
    </row>
    <row r="1804" spans="1:9" x14ac:dyDescent="0.35">
      <c r="A1804" t="s">
        <v>9</v>
      </c>
      <c r="B1804" t="s">
        <v>1750</v>
      </c>
      <c r="C1804" t="s">
        <v>1592</v>
      </c>
      <c r="D1804" t="str">
        <f>"240403"</f>
        <v>240403</v>
      </c>
      <c r="E1804">
        <v>4811</v>
      </c>
      <c r="F1804">
        <v>2756</v>
      </c>
      <c r="G1804" s="1">
        <v>0.57289999999999996</v>
      </c>
      <c r="H1804">
        <v>8</v>
      </c>
      <c r="I1804">
        <v>4754</v>
      </c>
    </row>
    <row r="1805" spans="1:9" x14ac:dyDescent="0.35">
      <c r="A1805" t="s">
        <v>9</v>
      </c>
      <c r="B1805" t="s">
        <v>1750</v>
      </c>
      <c r="C1805" t="s">
        <v>1781</v>
      </c>
      <c r="D1805" t="str">
        <f>"240404"</f>
        <v>240404</v>
      </c>
      <c r="E1805">
        <v>4357</v>
      </c>
      <c r="F1805">
        <v>2474</v>
      </c>
      <c r="G1805" s="1">
        <v>0.56779999999999997</v>
      </c>
      <c r="H1805">
        <v>5</v>
      </c>
      <c r="I1805">
        <v>4346</v>
      </c>
    </row>
    <row r="1806" spans="1:9" x14ac:dyDescent="0.35">
      <c r="A1806" t="s">
        <v>9</v>
      </c>
      <c r="B1806" t="s">
        <v>1750</v>
      </c>
      <c r="C1806" t="s">
        <v>1782</v>
      </c>
      <c r="D1806" t="str">
        <f>"240405"</f>
        <v>240405</v>
      </c>
      <c r="E1806">
        <v>10426</v>
      </c>
      <c r="F1806">
        <v>6278</v>
      </c>
      <c r="G1806" s="1">
        <v>0.60209999999999997</v>
      </c>
      <c r="H1806">
        <v>15</v>
      </c>
      <c r="I1806">
        <v>10404</v>
      </c>
    </row>
    <row r="1807" spans="1:9" x14ac:dyDescent="0.35">
      <c r="A1807" t="s">
        <v>9</v>
      </c>
      <c r="B1807" t="s">
        <v>1750</v>
      </c>
      <c r="C1807" t="s">
        <v>1783</v>
      </c>
      <c r="D1807" t="str">
        <f>"240406"</f>
        <v>240406</v>
      </c>
      <c r="E1807">
        <v>7213</v>
      </c>
      <c r="F1807">
        <v>3824</v>
      </c>
      <c r="G1807" s="1">
        <v>0.5302</v>
      </c>
      <c r="H1807">
        <v>8</v>
      </c>
      <c r="I1807">
        <v>7183</v>
      </c>
    </row>
    <row r="1808" spans="1:9" x14ac:dyDescent="0.35">
      <c r="A1808" t="s">
        <v>9</v>
      </c>
      <c r="B1808" t="s">
        <v>1750</v>
      </c>
      <c r="C1808" t="s">
        <v>1784</v>
      </c>
      <c r="D1808" t="str">
        <f>"240407"</f>
        <v>240407</v>
      </c>
      <c r="E1808">
        <v>8419</v>
      </c>
      <c r="F1808">
        <v>5121</v>
      </c>
      <c r="G1808" s="1">
        <v>0.60829999999999995</v>
      </c>
      <c r="H1808">
        <v>13</v>
      </c>
      <c r="I1808">
        <v>8386</v>
      </c>
    </row>
    <row r="1809" spans="1:9" x14ac:dyDescent="0.35">
      <c r="A1809" t="s">
        <v>9</v>
      </c>
      <c r="B1809" t="s">
        <v>1750</v>
      </c>
      <c r="C1809" t="s">
        <v>1785</v>
      </c>
      <c r="D1809" t="str">
        <f>"240408"</f>
        <v>240408</v>
      </c>
      <c r="E1809">
        <v>3767</v>
      </c>
      <c r="F1809">
        <v>2130</v>
      </c>
      <c r="G1809" s="1">
        <v>0.56540000000000001</v>
      </c>
      <c r="H1809">
        <v>6</v>
      </c>
      <c r="I1809">
        <v>3760</v>
      </c>
    </row>
    <row r="1810" spans="1:9" x14ac:dyDescent="0.35">
      <c r="A1810" t="s">
        <v>9</v>
      </c>
      <c r="B1810" t="s">
        <v>1750</v>
      </c>
      <c r="C1810" t="s">
        <v>1786</v>
      </c>
      <c r="D1810" t="str">
        <f>"240409"</f>
        <v>240409</v>
      </c>
      <c r="E1810">
        <v>3747</v>
      </c>
      <c r="F1810">
        <v>2078</v>
      </c>
      <c r="G1810" s="1">
        <v>0.55459999999999998</v>
      </c>
      <c r="H1810">
        <v>8</v>
      </c>
      <c r="I1810">
        <v>3714</v>
      </c>
    </row>
    <row r="1811" spans="1:9" x14ac:dyDescent="0.35">
      <c r="A1811" t="s">
        <v>9</v>
      </c>
      <c r="B1811" t="s">
        <v>1750</v>
      </c>
      <c r="C1811" t="s">
        <v>1787</v>
      </c>
      <c r="D1811" t="str">
        <f>"240410"</f>
        <v>240410</v>
      </c>
      <c r="E1811">
        <v>8489</v>
      </c>
      <c r="F1811">
        <v>5016</v>
      </c>
      <c r="G1811" s="1">
        <v>0.59089999999999998</v>
      </c>
      <c r="H1811">
        <v>12</v>
      </c>
      <c r="I1811">
        <v>8418</v>
      </c>
    </row>
    <row r="1812" spans="1:9" x14ac:dyDescent="0.35">
      <c r="A1812" t="s">
        <v>9</v>
      </c>
      <c r="B1812" t="s">
        <v>1750</v>
      </c>
      <c r="C1812" t="s">
        <v>1788</v>
      </c>
      <c r="D1812" t="str">
        <f>"240411"</f>
        <v>240411</v>
      </c>
      <c r="E1812">
        <v>11838</v>
      </c>
      <c r="F1812">
        <v>7214</v>
      </c>
      <c r="G1812" s="1">
        <v>0.60940000000000005</v>
      </c>
      <c r="H1812">
        <v>18</v>
      </c>
      <c r="I1812">
        <v>11786</v>
      </c>
    </row>
    <row r="1813" spans="1:9" x14ac:dyDescent="0.35">
      <c r="A1813" t="s">
        <v>9</v>
      </c>
      <c r="B1813" t="s">
        <v>1750</v>
      </c>
      <c r="C1813" t="s">
        <v>1789</v>
      </c>
      <c r="D1813" t="str">
        <f>"240412"</f>
        <v>240412</v>
      </c>
      <c r="E1813">
        <v>6429</v>
      </c>
      <c r="F1813">
        <v>3765</v>
      </c>
      <c r="G1813" s="1">
        <v>0.58560000000000001</v>
      </c>
      <c r="H1813">
        <v>7</v>
      </c>
      <c r="I1813">
        <v>6394</v>
      </c>
    </row>
    <row r="1814" spans="1:9" x14ac:dyDescent="0.35">
      <c r="A1814" t="s">
        <v>9</v>
      </c>
      <c r="B1814" t="s">
        <v>1750</v>
      </c>
      <c r="C1814" t="s">
        <v>1790</v>
      </c>
      <c r="D1814" t="str">
        <f>"240413"</f>
        <v>240413</v>
      </c>
      <c r="E1814">
        <v>9773</v>
      </c>
      <c r="F1814">
        <v>6241</v>
      </c>
      <c r="G1814" s="1">
        <v>0.63859999999999995</v>
      </c>
      <c r="H1814">
        <v>10</v>
      </c>
      <c r="I1814">
        <v>9740</v>
      </c>
    </row>
    <row r="1815" spans="1:9" x14ac:dyDescent="0.35">
      <c r="A1815" t="s">
        <v>9</v>
      </c>
      <c r="B1815" t="s">
        <v>1750</v>
      </c>
      <c r="C1815" t="s">
        <v>1791</v>
      </c>
      <c r="D1815" t="str">
        <f>"240414"</f>
        <v>240414</v>
      </c>
      <c r="E1815">
        <v>2897</v>
      </c>
      <c r="F1815">
        <v>1712</v>
      </c>
      <c r="G1815" s="1">
        <v>0.59099999999999997</v>
      </c>
      <c r="H1815">
        <v>8</v>
      </c>
      <c r="I1815">
        <v>2877</v>
      </c>
    </row>
    <row r="1816" spans="1:9" x14ac:dyDescent="0.35">
      <c r="A1816" t="s">
        <v>9</v>
      </c>
      <c r="B1816" t="s">
        <v>1750</v>
      </c>
      <c r="C1816" t="s">
        <v>1792</v>
      </c>
      <c r="D1816" t="str">
        <f>"240415"</f>
        <v>240415</v>
      </c>
      <c r="E1816">
        <v>7527</v>
      </c>
      <c r="F1816">
        <v>4457</v>
      </c>
      <c r="G1816" s="1">
        <v>0.59209999999999996</v>
      </c>
      <c r="H1816">
        <v>6</v>
      </c>
      <c r="I1816">
        <v>7509</v>
      </c>
    </row>
    <row r="1817" spans="1:9" x14ac:dyDescent="0.35">
      <c r="A1817" t="s">
        <v>9</v>
      </c>
      <c r="B1817" t="s">
        <v>1750</v>
      </c>
      <c r="C1817" t="s">
        <v>1793</v>
      </c>
      <c r="D1817" t="str">
        <f>"240416"</f>
        <v>240416</v>
      </c>
      <c r="E1817">
        <v>2314</v>
      </c>
      <c r="F1817">
        <v>1456</v>
      </c>
      <c r="G1817" s="1">
        <v>0.62919999999999998</v>
      </c>
      <c r="H1817">
        <v>5</v>
      </c>
      <c r="I1817">
        <v>2309</v>
      </c>
    </row>
    <row r="1818" spans="1:9" x14ac:dyDescent="0.35">
      <c r="A1818" t="s">
        <v>9</v>
      </c>
      <c r="B1818" t="s">
        <v>1750</v>
      </c>
      <c r="C1818" t="s">
        <v>1794</v>
      </c>
      <c r="D1818" t="str">
        <f>"240501"</f>
        <v>240501</v>
      </c>
      <c r="E1818">
        <v>26843</v>
      </c>
      <c r="F1818">
        <v>15641</v>
      </c>
      <c r="G1818" s="1">
        <v>0.5827</v>
      </c>
      <c r="H1818">
        <v>21</v>
      </c>
      <c r="I1818">
        <v>26639</v>
      </c>
    </row>
    <row r="1819" spans="1:9" x14ac:dyDescent="0.35">
      <c r="A1819" t="s">
        <v>9</v>
      </c>
      <c r="B1819" t="s">
        <v>1750</v>
      </c>
      <c r="C1819" t="s">
        <v>1795</v>
      </c>
      <c r="D1819" t="str">
        <f>"240502"</f>
        <v>240502</v>
      </c>
      <c r="E1819">
        <v>12775</v>
      </c>
      <c r="F1819">
        <v>6452</v>
      </c>
      <c r="G1819" s="1">
        <v>0.505</v>
      </c>
      <c r="H1819">
        <v>8</v>
      </c>
      <c r="I1819">
        <v>12684</v>
      </c>
    </row>
    <row r="1820" spans="1:9" x14ac:dyDescent="0.35">
      <c r="A1820" t="s">
        <v>9</v>
      </c>
      <c r="B1820" t="s">
        <v>1750</v>
      </c>
      <c r="C1820" t="s">
        <v>1796</v>
      </c>
      <c r="D1820" t="str">
        <f>"240503"</f>
        <v>240503</v>
      </c>
      <c r="E1820">
        <v>9373</v>
      </c>
      <c r="F1820">
        <v>5395</v>
      </c>
      <c r="G1820" s="1">
        <v>0.5756</v>
      </c>
      <c r="H1820">
        <v>6</v>
      </c>
      <c r="I1820">
        <v>9351</v>
      </c>
    </row>
    <row r="1821" spans="1:9" x14ac:dyDescent="0.35">
      <c r="A1821" t="s">
        <v>9</v>
      </c>
      <c r="B1821" t="s">
        <v>1750</v>
      </c>
      <c r="C1821" t="s">
        <v>1797</v>
      </c>
      <c r="D1821" t="str">
        <f>"240504"</f>
        <v>240504</v>
      </c>
      <c r="E1821">
        <v>9338</v>
      </c>
      <c r="F1821">
        <v>4954</v>
      </c>
      <c r="G1821" s="1">
        <v>0.53049999999999997</v>
      </c>
      <c r="H1821">
        <v>7</v>
      </c>
      <c r="I1821">
        <v>9315</v>
      </c>
    </row>
    <row r="1822" spans="1:9" x14ac:dyDescent="0.35">
      <c r="A1822" t="s">
        <v>9</v>
      </c>
      <c r="B1822" t="s">
        <v>1750</v>
      </c>
      <c r="C1822" t="s">
        <v>1798</v>
      </c>
      <c r="D1822" t="str">
        <f>"240505"</f>
        <v>240505</v>
      </c>
      <c r="E1822">
        <v>8341</v>
      </c>
      <c r="F1822">
        <v>4631</v>
      </c>
      <c r="G1822" s="1">
        <v>0.55520000000000003</v>
      </c>
      <c r="H1822">
        <v>16</v>
      </c>
      <c r="I1822">
        <v>8308</v>
      </c>
    </row>
    <row r="1823" spans="1:9" x14ac:dyDescent="0.35">
      <c r="A1823" t="s">
        <v>9</v>
      </c>
      <c r="B1823" t="s">
        <v>1750</v>
      </c>
      <c r="C1823" t="s">
        <v>1799</v>
      </c>
      <c r="D1823" t="str">
        <f>"240506"</f>
        <v>240506</v>
      </c>
      <c r="E1823">
        <v>6719</v>
      </c>
      <c r="F1823">
        <v>3690</v>
      </c>
      <c r="G1823" s="1">
        <v>0.54920000000000002</v>
      </c>
      <c r="H1823">
        <v>9</v>
      </c>
      <c r="I1823">
        <v>6688</v>
      </c>
    </row>
    <row r="1824" spans="1:9" x14ac:dyDescent="0.35">
      <c r="A1824" t="s">
        <v>9</v>
      </c>
      <c r="B1824" t="s">
        <v>1750</v>
      </c>
      <c r="C1824" t="s">
        <v>1800</v>
      </c>
      <c r="D1824" t="str">
        <f>"240507"</f>
        <v>240507</v>
      </c>
      <c r="E1824">
        <v>7016</v>
      </c>
      <c r="F1824">
        <v>3629</v>
      </c>
      <c r="G1824" s="1">
        <v>0.51719999999999999</v>
      </c>
      <c r="H1824">
        <v>7</v>
      </c>
      <c r="I1824">
        <v>6963</v>
      </c>
    </row>
    <row r="1825" spans="1:9" x14ac:dyDescent="0.35">
      <c r="A1825" t="s">
        <v>9</v>
      </c>
      <c r="B1825" t="s">
        <v>1750</v>
      </c>
      <c r="C1825" t="s">
        <v>1801</v>
      </c>
      <c r="D1825" t="str">
        <f>"240508"</f>
        <v>240508</v>
      </c>
      <c r="E1825">
        <v>4502</v>
      </c>
      <c r="F1825">
        <v>2309</v>
      </c>
      <c r="G1825" s="1">
        <v>0.51290000000000002</v>
      </c>
      <c r="H1825">
        <v>8</v>
      </c>
      <c r="I1825">
        <v>4485</v>
      </c>
    </row>
    <row r="1826" spans="1:9" x14ac:dyDescent="0.35">
      <c r="A1826" t="s">
        <v>9</v>
      </c>
      <c r="B1826" t="s">
        <v>1750</v>
      </c>
      <c r="C1826" t="s">
        <v>1802</v>
      </c>
      <c r="D1826" t="str">
        <f>"240601"</f>
        <v>240601</v>
      </c>
      <c r="E1826">
        <v>15593</v>
      </c>
      <c r="F1826">
        <v>9217</v>
      </c>
      <c r="G1826" s="1">
        <v>0.59109999999999996</v>
      </c>
      <c r="H1826">
        <v>14</v>
      </c>
      <c r="I1826">
        <v>15546</v>
      </c>
    </row>
    <row r="1827" spans="1:9" x14ac:dyDescent="0.35">
      <c r="A1827" t="s">
        <v>9</v>
      </c>
      <c r="B1827" t="s">
        <v>1750</v>
      </c>
      <c r="C1827" t="s">
        <v>1803</v>
      </c>
      <c r="D1827" t="str">
        <f>"240602"</f>
        <v>240602</v>
      </c>
      <c r="E1827">
        <v>6947</v>
      </c>
      <c r="F1827">
        <v>3791</v>
      </c>
      <c r="G1827" s="1">
        <v>0.54569999999999996</v>
      </c>
      <c r="H1827">
        <v>8</v>
      </c>
      <c r="I1827">
        <v>6897</v>
      </c>
    </row>
    <row r="1828" spans="1:9" x14ac:dyDescent="0.35">
      <c r="A1828" t="s">
        <v>9</v>
      </c>
      <c r="B1828" t="s">
        <v>1750</v>
      </c>
      <c r="C1828" t="s">
        <v>1804</v>
      </c>
      <c r="D1828" t="str">
        <f>"240603"</f>
        <v>240603</v>
      </c>
      <c r="E1828">
        <v>4895</v>
      </c>
      <c r="F1828">
        <v>2755</v>
      </c>
      <c r="G1828" s="1">
        <v>0.56279999999999997</v>
      </c>
      <c r="H1828">
        <v>5</v>
      </c>
      <c r="I1828">
        <v>4882</v>
      </c>
    </row>
    <row r="1829" spans="1:9" x14ac:dyDescent="0.35">
      <c r="A1829" t="s">
        <v>9</v>
      </c>
      <c r="B1829" t="s">
        <v>1750</v>
      </c>
      <c r="C1829" t="s">
        <v>1805</v>
      </c>
      <c r="D1829" t="str">
        <f>"240604"</f>
        <v>240604</v>
      </c>
      <c r="E1829">
        <v>5901</v>
      </c>
      <c r="F1829">
        <v>3405</v>
      </c>
      <c r="G1829" s="1">
        <v>0.57699999999999996</v>
      </c>
      <c r="H1829">
        <v>8</v>
      </c>
      <c r="I1829">
        <v>5880</v>
      </c>
    </row>
    <row r="1830" spans="1:9" x14ac:dyDescent="0.35">
      <c r="A1830" t="s">
        <v>9</v>
      </c>
      <c r="B1830" t="s">
        <v>1750</v>
      </c>
      <c r="C1830" t="s">
        <v>1806</v>
      </c>
      <c r="D1830" t="str">
        <f>"240605"</f>
        <v>240605</v>
      </c>
      <c r="E1830">
        <v>5231</v>
      </c>
      <c r="F1830">
        <v>2924</v>
      </c>
      <c r="G1830" s="1">
        <v>0.55900000000000005</v>
      </c>
      <c r="H1830">
        <v>7</v>
      </c>
      <c r="I1830">
        <v>5209</v>
      </c>
    </row>
    <row r="1831" spans="1:9" x14ac:dyDescent="0.35">
      <c r="A1831" t="s">
        <v>9</v>
      </c>
      <c r="B1831" t="s">
        <v>1750</v>
      </c>
      <c r="C1831" t="s">
        <v>1807</v>
      </c>
      <c r="D1831" t="str">
        <f>"240606"</f>
        <v>240606</v>
      </c>
      <c r="E1831">
        <v>3923</v>
      </c>
      <c r="F1831">
        <v>2211</v>
      </c>
      <c r="G1831" s="1">
        <v>0.56359999999999999</v>
      </c>
      <c r="H1831">
        <v>4</v>
      </c>
      <c r="I1831">
        <v>3904</v>
      </c>
    </row>
    <row r="1832" spans="1:9" x14ac:dyDescent="0.35">
      <c r="A1832" t="s">
        <v>9</v>
      </c>
      <c r="B1832" t="s">
        <v>1750</v>
      </c>
      <c r="C1832" t="s">
        <v>1808</v>
      </c>
      <c r="D1832" t="str">
        <f>"240607"</f>
        <v>240607</v>
      </c>
      <c r="E1832">
        <v>4696</v>
      </c>
      <c r="F1832">
        <v>2535</v>
      </c>
      <c r="G1832" s="1">
        <v>0.53979999999999995</v>
      </c>
      <c r="H1832">
        <v>6</v>
      </c>
      <c r="I1832">
        <v>4648</v>
      </c>
    </row>
    <row r="1833" spans="1:9" x14ac:dyDescent="0.35">
      <c r="A1833" t="s">
        <v>9</v>
      </c>
      <c r="B1833" t="s">
        <v>1750</v>
      </c>
      <c r="C1833" t="s">
        <v>1809</v>
      </c>
      <c r="D1833" t="str">
        <f>"240608"</f>
        <v>240608</v>
      </c>
      <c r="E1833">
        <v>4602</v>
      </c>
      <c r="F1833">
        <v>2526</v>
      </c>
      <c r="G1833" s="1">
        <v>0.54890000000000005</v>
      </c>
      <c r="H1833">
        <v>6</v>
      </c>
      <c r="I1833">
        <v>4567</v>
      </c>
    </row>
    <row r="1834" spans="1:9" x14ac:dyDescent="0.35">
      <c r="A1834" t="s">
        <v>9</v>
      </c>
      <c r="B1834" t="s">
        <v>1750</v>
      </c>
      <c r="C1834" t="s">
        <v>1810</v>
      </c>
      <c r="D1834" t="str">
        <f>"240609"</f>
        <v>240609</v>
      </c>
      <c r="E1834">
        <v>13922</v>
      </c>
      <c r="F1834">
        <v>7364</v>
      </c>
      <c r="G1834" s="1">
        <v>0.52890000000000004</v>
      </c>
      <c r="H1834">
        <v>11</v>
      </c>
      <c r="I1834">
        <v>13858</v>
      </c>
    </row>
    <row r="1835" spans="1:9" x14ac:dyDescent="0.35">
      <c r="A1835" t="s">
        <v>9</v>
      </c>
      <c r="B1835" t="s">
        <v>1750</v>
      </c>
      <c r="C1835" t="s">
        <v>1811</v>
      </c>
      <c r="D1835" t="str">
        <f>"240701"</f>
        <v>240701</v>
      </c>
      <c r="E1835">
        <v>17060</v>
      </c>
      <c r="F1835">
        <v>9616</v>
      </c>
      <c r="G1835" s="1">
        <v>0.56369999999999998</v>
      </c>
      <c r="H1835">
        <v>13</v>
      </c>
      <c r="I1835">
        <v>16904</v>
      </c>
    </row>
    <row r="1836" spans="1:9" x14ac:dyDescent="0.35">
      <c r="A1836" t="s">
        <v>9</v>
      </c>
      <c r="B1836" t="s">
        <v>1750</v>
      </c>
      <c r="C1836" t="s">
        <v>1812</v>
      </c>
      <c r="D1836" t="str">
        <f>"240702"</f>
        <v>240702</v>
      </c>
      <c r="E1836">
        <v>2629</v>
      </c>
      <c r="F1836">
        <v>1503</v>
      </c>
      <c r="G1836" s="1">
        <v>0.57169999999999999</v>
      </c>
      <c r="H1836">
        <v>2</v>
      </c>
      <c r="I1836">
        <v>2625</v>
      </c>
    </row>
    <row r="1837" spans="1:9" x14ac:dyDescent="0.35">
      <c r="A1837" t="s">
        <v>9</v>
      </c>
      <c r="B1837" t="s">
        <v>1750</v>
      </c>
      <c r="C1837" t="s">
        <v>1813</v>
      </c>
      <c r="D1837" t="str">
        <f>"240703"</f>
        <v>240703</v>
      </c>
      <c r="E1837">
        <v>5829</v>
      </c>
      <c r="F1837">
        <v>2533</v>
      </c>
      <c r="G1837" s="1">
        <v>0.43459999999999999</v>
      </c>
      <c r="H1837">
        <v>9</v>
      </c>
      <c r="I1837">
        <v>5784</v>
      </c>
    </row>
    <row r="1838" spans="1:9" x14ac:dyDescent="0.35">
      <c r="A1838" t="s">
        <v>9</v>
      </c>
      <c r="B1838" t="s">
        <v>1750</v>
      </c>
      <c r="C1838" t="s">
        <v>1814</v>
      </c>
      <c r="D1838" t="str">
        <f>"240704"</f>
        <v>240704</v>
      </c>
      <c r="E1838">
        <v>5030</v>
      </c>
      <c r="F1838">
        <v>2845</v>
      </c>
      <c r="G1838" s="1">
        <v>0.56559999999999999</v>
      </c>
      <c r="H1838">
        <v>5</v>
      </c>
      <c r="I1838">
        <v>5002</v>
      </c>
    </row>
    <row r="1839" spans="1:9" x14ac:dyDescent="0.35">
      <c r="A1839" t="s">
        <v>9</v>
      </c>
      <c r="B1839" t="s">
        <v>1750</v>
      </c>
      <c r="C1839" t="s">
        <v>1815</v>
      </c>
      <c r="D1839" t="str">
        <f>"240705"</f>
        <v>240705</v>
      </c>
      <c r="E1839">
        <v>5368</v>
      </c>
      <c r="F1839">
        <v>2658</v>
      </c>
      <c r="G1839" s="1">
        <v>0.49519999999999997</v>
      </c>
      <c r="H1839">
        <v>8</v>
      </c>
      <c r="I1839">
        <v>5340</v>
      </c>
    </row>
    <row r="1840" spans="1:9" x14ac:dyDescent="0.35">
      <c r="A1840" t="s">
        <v>9</v>
      </c>
      <c r="B1840" t="s">
        <v>1750</v>
      </c>
      <c r="C1840" t="s">
        <v>1816</v>
      </c>
      <c r="D1840" t="str">
        <f>"240706"</f>
        <v>240706</v>
      </c>
      <c r="E1840">
        <v>9047</v>
      </c>
      <c r="F1840">
        <v>4700</v>
      </c>
      <c r="G1840" s="1">
        <v>0.51949999999999996</v>
      </c>
      <c r="H1840">
        <v>6</v>
      </c>
      <c r="I1840">
        <v>9022</v>
      </c>
    </row>
    <row r="1841" spans="1:9" x14ac:dyDescent="0.35">
      <c r="A1841" t="s">
        <v>9</v>
      </c>
      <c r="B1841" t="s">
        <v>1750</v>
      </c>
      <c r="C1841" t="s">
        <v>1817</v>
      </c>
      <c r="D1841" t="str">
        <f>"240707"</f>
        <v>240707</v>
      </c>
      <c r="E1841">
        <v>5130</v>
      </c>
      <c r="F1841">
        <v>2413</v>
      </c>
      <c r="G1841" s="1">
        <v>0.47039999999999998</v>
      </c>
      <c r="H1841">
        <v>9</v>
      </c>
      <c r="I1841">
        <v>5119</v>
      </c>
    </row>
    <row r="1842" spans="1:9" x14ac:dyDescent="0.35">
      <c r="A1842" t="s">
        <v>9</v>
      </c>
      <c r="B1842" t="s">
        <v>1750</v>
      </c>
      <c r="C1842" t="s">
        <v>1818</v>
      </c>
      <c r="D1842" t="str">
        <f>"240708"</f>
        <v>240708</v>
      </c>
      <c r="E1842">
        <v>7373</v>
      </c>
      <c r="F1842">
        <v>3992</v>
      </c>
      <c r="G1842" s="1">
        <v>0.54139999999999999</v>
      </c>
      <c r="H1842">
        <v>10</v>
      </c>
      <c r="I1842">
        <v>7341</v>
      </c>
    </row>
    <row r="1843" spans="1:9" x14ac:dyDescent="0.35">
      <c r="A1843" t="s">
        <v>9</v>
      </c>
      <c r="B1843" t="s">
        <v>1750</v>
      </c>
      <c r="C1843" t="s">
        <v>1819</v>
      </c>
      <c r="D1843" t="str">
        <f>"240801"</f>
        <v>240801</v>
      </c>
      <c r="E1843">
        <v>15733</v>
      </c>
      <c r="F1843">
        <v>9193</v>
      </c>
      <c r="G1843" s="1">
        <v>0.58430000000000004</v>
      </c>
      <c r="H1843">
        <v>16</v>
      </c>
      <c r="I1843">
        <v>15643</v>
      </c>
    </row>
    <row r="1844" spans="1:9" x14ac:dyDescent="0.35">
      <c r="A1844" t="s">
        <v>9</v>
      </c>
      <c r="B1844" t="s">
        <v>1750</v>
      </c>
      <c r="C1844" t="s">
        <v>1820</v>
      </c>
      <c r="D1844" t="str">
        <f>"240802"</f>
        <v>240802</v>
      </c>
      <c r="E1844">
        <v>30836</v>
      </c>
      <c r="F1844">
        <v>18903</v>
      </c>
      <c r="G1844" s="1">
        <v>0.61299999999999999</v>
      </c>
      <c r="H1844">
        <v>21</v>
      </c>
      <c r="I1844">
        <v>30661</v>
      </c>
    </row>
    <row r="1845" spans="1:9" x14ac:dyDescent="0.35">
      <c r="A1845" t="s">
        <v>9</v>
      </c>
      <c r="B1845" t="s">
        <v>1750</v>
      </c>
      <c r="C1845" t="s">
        <v>1821</v>
      </c>
      <c r="D1845" t="str">
        <f>"240803"</f>
        <v>240803</v>
      </c>
      <c r="E1845">
        <v>16087</v>
      </c>
      <c r="F1845">
        <v>9726</v>
      </c>
      <c r="G1845" s="1">
        <v>0.60460000000000003</v>
      </c>
      <c r="H1845">
        <v>15</v>
      </c>
      <c r="I1845">
        <v>16049</v>
      </c>
    </row>
    <row r="1846" spans="1:9" x14ac:dyDescent="0.35">
      <c r="A1846" t="s">
        <v>9</v>
      </c>
      <c r="B1846" t="s">
        <v>1750</v>
      </c>
      <c r="C1846" t="s">
        <v>1822</v>
      </c>
      <c r="D1846" t="str">
        <f>"240804"</f>
        <v>240804</v>
      </c>
      <c r="E1846">
        <v>4532</v>
      </c>
      <c r="F1846">
        <v>2740</v>
      </c>
      <c r="G1846" s="1">
        <v>0.60460000000000003</v>
      </c>
      <c r="H1846">
        <v>3</v>
      </c>
      <c r="I1846">
        <v>4524</v>
      </c>
    </row>
    <row r="1847" spans="1:9" x14ac:dyDescent="0.35">
      <c r="A1847" t="s">
        <v>9</v>
      </c>
      <c r="B1847" t="s">
        <v>1750</v>
      </c>
      <c r="C1847" t="s">
        <v>1823</v>
      </c>
      <c r="D1847" t="str">
        <f>"240805"</f>
        <v>240805</v>
      </c>
      <c r="E1847">
        <v>6504</v>
      </c>
      <c r="F1847">
        <v>4120</v>
      </c>
      <c r="G1847" s="1">
        <v>0.63349999999999995</v>
      </c>
      <c r="H1847">
        <v>6</v>
      </c>
      <c r="I1847">
        <v>6473</v>
      </c>
    </row>
    <row r="1848" spans="1:9" x14ac:dyDescent="0.35">
      <c r="A1848" t="s">
        <v>9</v>
      </c>
      <c r="B1848" t="s">
        <v>1750</v>
      </c>
      <c r="C1848" t="s">
        <v>1824</v>
      </c>
      <c r="D1848" t="str">
        <f>"240901"</f>
        <v>240901</v>
      </c>
      <c r="E1848">
        <v>23045</v>
      </c>
      <c r="F1848">
        <v>13132</v>
      </c>
      <c r="G1848" s="1">
        <v>0.56979999999999997</v>
      </c>
      <c r="H1848">
        <v>21</v>
      </c>
      <c r="I1848">
        <v>22918</v>
      </c>
    </row>
    <row r="1849" spans="1:9" x14ac:dyDescent="0.35">
      <c r="A1849" t="s">
        <v>9</v>
      </c>
      <c r="B1849" t="s">
        <v>1750</v>
      </c>
      <c r="C1849" t="s">
        <v>1825</v>
      </c>
      <c r="D1849" t="str">
        <f>"240902"</f>
        <v>240902</v>
      </c>
      <c r="E1849">
        <v>11323</v>
      </c>
      <c r="F1849">
        <v>6645</v>
      </c>
      <c r="G1849" s="1">
        <v>0.58689999999999998</v>
      </c>
      <c r="H1849">
        <v>16</v>
      </c>
      <c r="I1849">
        <v>11289</v>
      </c>
    </row>
    <row r="1850" spans="1:9" x14ac:dyDescent="0.35">
      <c r="A1850" t="s">
        <v>9</v>
      </c>
      <c r="B1850" t="s">
        <v>1750</v>
      </c>
      <c r="C1850" t="s">
        <v>1826</v>
      </c>
      <c r="D1850" t="str">
        <f>"240903"</f>
        <v>240903</v>
      </c>
      <c r="E1850">
        <v>4368</v>
      </c>
      <c r="F1850">
        <v>2600</v>
      </c>
      <c r="G1850" s="1">
        <v>0.59519999999999995</v>
      </c>
      <c r="H1850">
        <v>6</v>
      </c>
      <c r="I1850">
        <v>4353</v>
      </c>
    </row>
    <row r="1851" spans="1:9" x14ac:dyDescent="0.35">
      <c r="A1851" t="s">
        <v>9</v>
      </c>
      <c r="B1851" t="s">
        <v>1750</v>
      </c>
      <c r="C1851" t="s">
        <v>1827</v>
      </c>
      <c r="D1851" t="str">
        <f>"240904"</f>
        <v>240904</v>
      </c>
      <c r="E1851">
        <v>8641</v>
      </c>
      <c r="F1851">
        <v>5303</v>
      </c>
      <c r="G1851" s="1">
        <v>0.61370000000000002</v>
      </c>
      <c r="H1851">
        <v>7</v>
      </c>
      <c r="I1851">
        <v>8568</v>
      </c>
    </row>
    <row r="1852" spans="1:9" x14ac:dyDescent="0.35">
      <c r="A1852" t="s">
        <v>9</v>
      </c>
      <c r="B1852" t="s">
        <v>1750</v>
      </c>
      <c r="C1852" t="s">
        <v>1828</v>
      </c>
      <c r="D1852" t="str">
        <f>"240905"</f>
        <v>240905</v>
      </c>
      <c r="E1852">
        <v>6592</v>
      </c>
      <c r="F1852">
        <v>3678</v>
      </c>
      <c r="G1852" s="1">
        <v>0.55789999999999995</v>
      </c>
      <c r="H1852">
        <v>9</v>
      </c>
      <c r="I1852">
        <v>6553</v>
      </c>
    </row>
    <row r="1853" spans="1:9" x14ac:dyDescent="0.35">
      <c r="A1853" t="s">
        <v>9</v>
      </c>
      <c r="B1853" t="s">
        <v>1750</v>
      </c>
      <c r="C1853" t="s">
        <v>1829</v>
      </c>
      <c r="D1853" t="str">
        <f>"241001"</f>
        <v>241001</v>
      </c>
      <c r="E1853">
        <v>5315</v>
      </c>
      <c r="F1853">
        <v>3232</v>
      </c>
      <c r="G1853" s="1">
        <v>0.60809999999999997</v>
      </c>
      <c r="H1853">
        <v>5</v>
      </c>
      <c r="I1853">
        <v>5115</v>
      </c>
    </row>
    <row r="1854" spans="1:9" x14ac:dyDescent="0.35">
      <c r="A1854" t="s">
        <v>9</v>
      </c>
      <c r="B1854" t="s">
        <v>1750</v>
      </c>
      <c r="C1854" t="s">
        <v>1830</v>
      </c>
      <c r="D1854" t="str">
        <f>"241002"</f>
        <v>241002</v>
      </c>
      <c r="E1854">
        <v>3832</v>
      </c>
      <c r="F1854">
        <v>2352</v>
      </c>
      <c r="G1854" s="1">
        <v>0.61380000000000001</v>
      </c>
      <c r="H1854">
        <v>3</v>
      </c>
      <c r="I1854">
        <v>3805</v>
      </c>
    </row>
    <row r="1855" spans="1:9" x14ac:dyDescent="0.35">
      <c r="A1855" t="s">
        <v>9</v>
      </c>
      <c r="B1855" t="s">
        <v>1750</v>
      </c>
      <c r="C1855" t="s">
        <v>1831</v>
      </c>
      <c r="D1855" t="str">
        <f>"241003"</f>
        <v>241003</v>
      </c>
      <c r="E1855">
        <v>11688</v>
      </c>
      <c r="F1855">
        <v>6889</v>
      </c>
      <c r="G1855" s="1">
        <v>0.58940000000000003</v>
      </c>
      <c r="H1855">
        <v>11</v>
      </c>
      <c r="I1855">
        <v>11631</v>
      </c>
    </row>
    <row r="1856" spans="1:9" x14ac:dyDescent="0.35">
      <c r="A1856" t="s">
        <v>9</v>
      </c>
      <c r="B1856" t="s">
        <v>1750</v>
      </c>
      <c r="C1856" t="s">
        <v>1832</v>
      </c>
      <c r="D1856" t="str">
        <f>"241004"</f>
        <v>241004</v>
      </c>
      <c r="E1856">
        <v>12965</v>
      </c>
      <c r="F1856">
        <v>7808</v>
      </c>
      <c r="G1856" s="1">
        <v>0.60219999999999996</v>
      </c>
      <c r="H1856">
        <v>15</v>
      </c>
      <c r="I1856">
        <v>12936</v>
      </c>
    </row>
    <row r="1857" spans="1:9" x14ac:dyDescent="0.35">
      <c r="A1857" t="s">
        <v>9</v>
      </c>
      <c r="B1857" t="s">
        <v>1750</v>
      </c>
      <c r="C1857" t="s">
        <v>1833</v>
      </c>
      <c r="D1857" t="str">
        <f>"241005"</f>
        <v>241005</v>
      </c>
      <c r="E1857">
        <v>38874</v>
      </c>
      <c r="F1857">
        <v>23905</v>
      </c>
      <c r="G1857" s="1">
        <v>0.6149</v>
      </c>
      <c r="H1857">
        <v>30</v>
      </c>
      <c r="I1857">
        <v>38688</v>
      </c>
    </row>
    <row r="1858" spans="1:9" x14ac:dyDescent="0.35">
      <c r="A1858" t="s">
        <v>9</v>
      </c>
      <c r="B1858" t="s">
        <v>1750</v>
      </c>
      <c r="C1858" t="s">
        <v>1834</v>
      </c>
      <c r="D1858" t="str">
        <f>"241006"</f>
        <v>241006</v>
      </c>
      <c r="E1858">
        <v>9240</v>
      </c>
      <c r="F1858">
        <v>5616</v>
      </c>
      <c r="G1858" s="1">
        <v>0.60780000000000001</v>
      </c>
      <c r="H1858">
        <v>7</v>
      </c>
      <c r="I1858">
        <v>9207</v>
      </c>
    </row>
    <row r="1859" spans="1:9" x14ac:dyDescent="0.35">
      <c r="A1859" t="s">
        <v>9</v>
      </c>
      <c r="B1859" t="s">
        <v>1750</v>
      </c>
      <c r="C1859" t="s">
        <v>1835</v>
      </c>
      <c r="D1859" t="str">
        <f>"241101"</f>
        <v>241101</v>
      </c>
      <c r="E1859">
        <v>37367</v>
      </c>
      <c r="F1859">
        <v>19308</v>
      </c>
      <c r="G1859" s="1">
        <v>0.51670000000000005</v>
      </c>
      <c r="H1859">
        <v>25</v>
      </c>
      <c r="I1859">
        <v>37312</v>
      </c>
    </row>
    <row r="1860" spans="1:9" x14ac:dyDescent="0.35">
      <c r="A1860" t="s">
        <v>9</v>
      </c>
      <c r="B1860" t="s">
        <v>1750</v>
      </c>
      <c r="C1860" t="s">
        <v>1836</v>
      </c>
      <c r="D1860" t="str">
        <f>"241102"</f>
        <v>241102</v>
      </c>
      <c r="E1860">
        <v>3927</v>
      </c>
      <c r="F1860">
        <v>2189</v>
      </c>
      <c r="G1860" s="1">
        <v>0.55740000000000001</v>
      </c>
      <c r="H1860">
        <v>5</v>
      </c>
      <c r="I1860">
        <v>3920</v>
      </c>
    </row>
    <row r="1861" spans="1:9" x14ac:dyDescent="0.35">
      <c r="A1861" t="s">
        <v>9</v>
      </c>
      <c r="B1861" t="s">
        <v>1750</v>
      </c>
      <c r="C1861" t="s">
        <v>1837</v>
      </c>
      <c r="D1861" t="str">
        <f>"241103"</f>
        <v>241103</v>
      </c>
      <c r="E1861">
        <v>4381</v>
      </c>
      <c r="F1861">
        <v>1991</v>
      </c>
      <c r="G1861" s="1">
        <v>0.45450000000000002</v>
      </c>
      <c r="H1861">
        <v>6</v>
      </c>
      <c r="I1861">
        <v>4368</v>
      </c>
    </row>
    <row r="1862" spans="1:9" x14ac:dyDescent="0.35">
      <c r="A1862" t="s">
        <v>9</v>
      </c>
      <c r="B1862" t="s">
        <v>1750</v>
      </c>
      <c r="C1862" t="s">
        <v>1838</v>
      </c>
      <c r="D1862" t="str">
        <f>"241104"</f>
        <v>241104</v>
      </c>
      <c r="E1862">
        <v>8640</v>
      </c>
      <c r="F1862">
        <v>4080</v>
      </c>
      <c r="G1862" s="1">
        <v>0.47220000000000001</v>
      </c>
      <c r="H1862">
        <v>10</v>
      </c>
      <c r="I1862">
        <v>8606</v>
      </c>
    </row>
    <row r="1863" spans="1:9" x14ac:dyDescent="0.35">
      <c r="A1863" t="s">
        <v>9</v>
      </c>
      <c r="B1863" t="s">
        <v>1750</v>
      </c>
      <c r="C1863" t="s">
        <v>1839</v>
      </c>
      <c r="D1863" t="str">
        <f>"241105"</f>
        <v>241105</v>
      </c>
      <c r="E1863">
        <v>8595</v>
      </c>
      <c r="F1863">
        <v>4038</v>
      </c>
      <c r="G1863" s="1">
        <v>0.4698</v>
      </c>
      <c r="H1863">
        <v>10</v>
      </c>
      <c r="I1863">
        <v>8558</v>
      </c>
    </row>
    <row r="1864" spans="1:9" x14ac:dyDescent="0.35">
      <c r="A1864" t="s">
        <v>9</v>
      </c>
      <c r="B1864" t="s">
        <v>1750</v>
      </c>
      <c r="C1864" t="s">
        <v>1840</v>
      </c>
      <c r="D1864" t="str">
        <f>"241106"</f>
        <v>241106</v>
      </c>
      <c r="E1864">
        <v>5364</v>
      </c>
      <c r="F1864">
        <v>2694</v>
      </c>
      <c r="G1864" s="1">
        <v>0.50219999999999998</v>
      </c>
      <c r="H1864">
        <v>9</v>
      </c>
      <c r="I1864">
        <v>5341</v>
      </c>
    </row>
    <row r="1865" spans="1:9" x14ac:dyDescent="0.35">
      <c r="A1865" t="s">
        <v>9</v>
      </c>
      <c r="B1865" t="s">
        <v>1750</v>
      </c>
      <c r="C1865" t="s">
        <v>1841</v>
      </c>
      <c r="D1865" t="str">
        <f>"241107"</f>
        <v>241107</v>
      </c>
      <c r="E1865">
        <v>5218</v>
      </c>
      <c r="F1865">
        <v>2471</v>
      </c>
      <c r="G1865" s="1">
        <v>0.47360000000000002</v>
      </c>
      <c r="H1865">
        <v>7</v>
      </c>
      <c r="I1865">
        <v>5161</v>
      </c>
    </row>
    <row r="1866" spans="1:9" x14ac:dyDescent="0.35">
      <c r="A1866" t="s">
        <v>9</v>
      </c>
      <c r="B1866" t="s">
        <v>1750</v>
      </c>
      <c r="C1866" t="s">
        <v>395</v>
      </c>
      <c r="D1866" t="str">
        <f>"241108"</f>
        <v>241108</v>
      </c>
      <c r="E1866">
        <v>3898</v>
      </c>
      <c r="F1866">
        <v>1859</v>
      </c>
      <c r="G1866" s="1">
        <v>0.47689999999999999</v>
      </c>
      <c r="H1866">
        <v>9</v>
      </c>
      <c r="I1866">
        <v>3882</v>
      </c>
    </row>
    <row r="1867" spans="1:9" x14ac:dyDescent="0.35">
      <c r="A1867" t="s">
        <v>9</v>
      </c>
      <c r="B1867" t="s">
        <v>1750</v>
      </c>
      <c r="C1867" t="s">
        <v>1842</v>
      </c>
      <c r="D1867" t="str">
        <f>"241201"</f>
        <v>241201</v>
      </c>
      <c r="E1867">
        <v>30414</v>
      </c>
      <c r="F1867">
        <v>17041</v>
      </c>
      <c r="G1867" s="1">
        <v>0.56030000000000002</v>
      </c>
      <c r="H1867">
        <v>21</v>
      </c>
      <c r="I1867">
        <v>30323</v>
      </c>
    </row>
    <row r="1868" spans="1:9" x14ac:dyDescent="0.35">
      <c r="A1868" t="s">
        <v>9</v>
      </c>
      <c r="B1868" t="s">
        <v>1750</v>
      </c>
      <c r="C1868" t="s">
        <v>1843</v>
      </c>
      <c r="D1868" t="str">
        <f>"241202"</f>
        <v>241202</v>
      </c>
      <c r="E1868">
        <v>7470</v>
      </c>
      <c r="F1868">
        <v>4244</v>
      </c>
      <c r="G1868" s="1">
        <v>0.56810000000000005</v>
      </c>
      <c r="H1868">
        <v>7</v>
      </c>
      <c r="I1868">
        <v>7449</v>
      </c>
    </row>
    <row r="1869" spans="1:9" x14ac:dyDescent="0.35">
      <c r="A1869" t="s">
        <v>9</v>
      </c>
      <c r="B1869" t="s">
        <v>1750</v>
      </c>
      <c r="C1869" t="s">
        <v>1844</v>
      </c>
      <c r="D1869" t="str">
        <f>"241203"</f>
        <v>241203</v>
      </c>
      <c r="E1869">
        <v>3122</v>
      </c>
      <c r="F1869">
        <v>2022</v>
      </c>
      <c r="G1869" s="1">
        <v>0.64770000000000005</v>
      </c>
      <c r="H1869">
        <v>3</v>
      </c>
      <c r="I1869">
        <v>3119</v>
      </c>
    </row>
    <row r="1870" spans="1:9" x14ac:dyDescent="0.35">
      <c r="A1870" t="s">
        <v>9</v>
      </c>
      <c r="B1870" t="s">
        <v>1750</v>
      </c>
      <c r="C1870" t="s">
        <v>1845</v>
      </c>
      <c r="D1870" t="str">
        <f>"241204"</f>
        <v>241204</v>
      </c>
      <c r="E1870">
        <v>7434</v>
      </c>
      <c r="F1870">
        <v>4506</v>
      </c>
      <c r="G1870" s="1">
        <v>0.60609999999999997</v>
      </c>
      <c r="H1870">
        <v>10</v>
      </c>
      <c r="I1870">
        <v>7408</v>
      </c>
    </row>
    <row r="1871" spans="1:9" x14ac:dyDescent="0.35">
      <c r="A1871" t="s">
        <v>9</v>
      </c>
      <c r="B1871" t="s">
        <v>1750</v>
      </c>
      <c r="C1871" t="s">
        <v>1846</v>
      </c>
      <c r="D1871" t="str">
        <f>"241205"</f>
        <v>241205</v>
      </c>
      <c r="E1871">
        <v>9269</v>
      </c>
      <c r="F1871">
        <v>5371</v>
      </c>
      <c r="G1871" s="1">
        <v>0.57950000000000002</v>
      </c>
      <c r="H1871">
        <v>6</v>
      </c>
      <c r="I1871">
        <v>9245</v>
      </c>
    </row>
    <row r="1872" spans="1:9" x14ac:dyDescent="0.35">
      <c r="A1872" t="s">
        <v>9</v>
      </c>
      <c r="B1872" t="s">
        <v>1750</v>
      </c>
      <c r="C1872" t="s">
        <v>1847</v>
      </c>
      <c r="D1872" t="str">
        <f>"241301"</f>
        <v>241301</v>
      </c>
      <c r="E1872">
        <v>6670</v>
      </c>
      <c r="F1872">
        <v>3403</v>
      </c>
      <c r="G1872" s="1">
        <v>0.51019999999999999</v>
      </c>
      <c r="H1872">
        <v>5</v>
      </c>
      <c r="I1872">
        <v>6643</v>
      </c>
    </row>
    <row r="1873" spans="1:9" x14ac:dyDescent="0.35">
      <c r="A1873" t="s">
        <v>9</v>
      </c>
      <c r="B1873" t="s">
        <v>1750</v>
      </c>
      <c r="C1873" t="s">
        <v>1848</v>
      </c>
      <c r="D1873" t="str">
        <f>"241302"</f>
        <v>241302</v>
      </c>
      <c r="E1873">
        <v>5403</v>
      </c>
      <c r="F1873">
        <v>2964</v>
      </c>
      <c r="G1873" s="1">
        <v>0.54859999999999998</v>
      </c>
      <c r="H1873">
        <v>5</v>
      </c>
      <c r="I1873">
        <v>5394</v>
      </c>
    </row>
    <row r="1874" spans="1:9" x14ac:dyDescent="0.35">
      <c r="A1874" t="s">
        <v>9</v>
      </c>
      <c r="B1874" t="s">
        <v>1750</v>
      </c>
      <c r="C1874" t="s">
        <v>1849</v>
      </c>
      <c r="D1874" t="str">
        <f>"241303"</f>
        <v>241303</v>
      </c>
      <c r="E1874">
        <v>12388</v>
      </c>
      <c r="F1874">
        <v>7052</v>
      </c>
      <c r="G1874" s="1">
        <v>0.56930000000000003</v>
      </c>
      <c r="H1874">
        <v>8</v>
      </c>
      <c r="I1874">
        <v>12345</v>
      </c>
    </row>
    <row r="1875" spans="1:9" x14ac:dyDescent="0.35">
      <c r="A1875" t="s">
        <v>9</v>
      </c>
      <c r="B1875" t="s">
        <v>1750</v>
      </c>
      <c r="C1875" t="s">
        <v>1850</v>
      </c>
      <c r="D1875" t="str">
        <f>"241304"</f>
        <v>241304</v>
      </c>
      <c r="E1875">
        <v>45500</v>
      </c>
      <c r="F1875">
        <v>25084</v>
      </c>
      <c r="G1875" s="1">
        <v>0.55130000000000001</v>
      </c>
      <c r="H1875">
        <v>26</v>
      </c>
      <c r="I1875">
        <v>45388</v>
      </c>
    </row>
    <row r="1876" spans="1:9" x14ac:dyDescent="0.35">
      <c r="A1876" t="s">
        <v>9</v>
      </c>
      <c r="B1876" t="s">
        <v>1750</v>
      </c>
      <c r="C1876" t="s">
        <v>1851</v>
      </c>
      <c r="D1876" t="str">
        <f>"241305"</f>
        <v>241305</v>
      </c>
      <c r="E1876">
        <v>2463</v>
      </c>
      <c r="F1876">
        <v>1356</v>
      </c>
      <c r="G1876" s="1">
        <v>0.55049999999999999</v>
      </c>
      <c r="H1876">
        <v>4</v>
      </c>
      <c r="I1876">
        <v>2439</v>
      </c>
    </row>
    <row r="1877" spans="1:9" x14ac:dyDescent="0.35">
      <c r="A1877" t="s">
        <v>9</v>
      </c>
      <c r="B1877" t="s">
        <v>1750</v>
      </c>
      <c r="C1877" t="s">
        <v>1852</v>
      </c>
      <c r="D1877" t="str">
        <f>"241306"</f>
        <v>241306</v>
      </c>
      <c r="E1877">
        <v>4911</v>
      </c>
      <c r="F1877">
        <v>2811</v>
      </c>
      <c r="G1877" s="1">
        <v>0.57240000000000002</v>
      </c>
      <c r="H1877">
        <v>4</v>
      </c>
      <c r="I1877">
        <v>4774</v>
      </c>
    </row>
    <row r="1878" spans="1:9" x14ac:dyDescent="0.35">
      <c r="A1878" t="s">
        <v>9</v>
      </c>
      <c r="B1878" t="s">
        <v>1750</v>
      </c>
      <c r="C1878" t="s">
        <v>1853</v>
      </c>
      <c r="D1878" t="str">
        <f>"241307"</f>
        <v>241307</v>
      </c>
      <c r="E1878">
        <v>9831</v>
      </c>
      <c r="F1878">
        <v>5692</v>
      </c>
      <c r="G1878" s="1">
        <v>0.57899999999999996</v>
      </c>
      <c r="H1878">
        <v>6</v>
      </c>
      <c r="I1878">
        <v>9820</v>
      </c>
    </row>
    <row r="1879" spans="1:9" x14ac:dyDescent="0.35">
      <c r="A1879" t="s">
        <v>9</v>
      </c>
      <c r="B1879" t="s">
        <v>1750</v>
      </c>
      <c r="C1879" t="s">
        <v>1854</v>
      </c>
      <c r="D1879" t="str">
        <f>"241308"</f>
        <v>241308</v>
      </c>
      <c r="E1879">
        <v>6449</v>
      </c>
      <c r="F1879">
        <v>3523</v>
      </c>
      <c r="G1879" s="1">
        <v>0.54630000000000001</v>
      </c>
      <c r="H1879">
        <v>9</v>
      </c>
      <c r="I1879">
        <v>6421</v>
      </c>
    </row>
    <row r="1880" spans="1:9" x14ac:dyDescent="0.35">
      <c r="A1880" t="s">
        <v>9</v>
      </c>
      <c r="B1880" t="s">
        <v>1750</v>
      </c>
      <c r="C1880" t="s">
        <v>1855</v>
      </c>
      <c r="D1880" t="str">
        <f>"241309"</f>
        <v>241309</v>
      </c>
      <c r="E1880">
        <v>12098</v>
      </c>
      <c r="F1880">
        <v>6646</v>
      </c>
      <c r="G1880" s="1">
        <v>0.54930000000000001</v>
      </c>
      <c r="H1880">
        <v>17</v>
      </c>
      <c r="I1880">
        <v>12056</v>
      </c>
    </row>
    <row r="1881" spans="1:9" x14ac:dyDescent="0.35">
      <c r="A1881" t="s">
        <v>9</v>
      </c>
      <c r="B1881" t="s">
        <v>1750</v>
      </c>
      <c r="C1881" t="s">
        <v>1856</v>
      </c>
      <c r="D1881" t="str">
        <f>"241401"</f>
        <v>241401</v>
      </c>
      <c r="E1881">
        <v>14334</v>
      </c>
      <c r="F1881">
        <v>8439</v>
      </c>
      <c r="G1881" s="1">
        <v>0.5887</v>
      </c>
      <c r="H1881">
        <v>15</v>
      </c>
      <c r="I1881">
        <v>14307</v>
      </c>
    </row>
    <row r="1882" spans="1:9" x14ac:dyDescent="0.35">
      <c r="A1882" t="s">
        <v>9</v>
      </c>
      <c r="B1882" t="s">
        <v>1750</v>
      </c>
      <c r="C1882" t="s">
        <v>1857</v>
      </c>
      <c r="D1882" t="str">
        <f>"241402"</f>
        <v>241402</v>
      </c>
      <c r="E1882">
        <v>7091</v>
      </c>
      <c r="F1882">
        <v>4255</v>
      </c>
      <c r="G1882" s="1">
        <v>0.60009999999999997</v>
      </c>
      <c r="H1882">
        <v>4</v>
      </c>
      <c r="I1882">
        <v>7070</v>
      </c>
    </row>
    <row r="1883" spans="1:9" x14ac:dyDescent="0.35">
      <c r="A1883" t="s">
        <v>9</v>
      </c>
      <c r="B1883" t="s">
        <v>1750</v>
      </c>
      <c r="C1883" t="s">
        <v>1858</v>
      </c>
      <c r="D1883" t="str">
        <f>"241403"</f>
        <v>241403</v>
      </c>
      <c r="E1883">
        <v>12078</v>
      </c>
      <c r="F1883">
        <v>6608</v>
      </c>
      <c r="G1883" s="1">
        <v>0.54710000000000003</v>
      </c>
      <c r="H1883">
        <v>11</v>
      </c>
      <c r="I1883">
        <v>12002</v>
      </c>
    </row>
    <row r="1884" spans="1:9" x14ac:dyDescent="0.35">
      <c r="A1884" t="s">
        <v>9</v>
      </c>
      <c r="B1884" t="s">
        <v>1750</v>
      </c>
      <c r="C1884" t="s">
        <v>1859</v>
      </c>
      <c r="D1884" t="str">
        <f>"241404"</f>
        <v>241404</v>
      </c>
      <c r="E1884">
        <v>6187</v>
      </c>
      <c r="F1884">
        <v>3891</v>
      </c>
      <c r="G1884" s="1">
        <v>0.62890000000000001</v>
      </c>
      <c r="H1884">
        <v>9</v>
      </c>
      <c r="I1884">
        <v>6155</v>
      </c>
    </row>
    <row r="1885" spans="1:9" x14ac:dyDescent="0.35">
      <c r="A1885" t="s">
        <v>9</v>
      </c>
      <c r="B1885" t="s">
        <v>1750</v>
      </c>
      <c r="C1885" t="s">
        <v>1860</v>
      </c>
      <c r="D1885" t="str">
        <f>"241405"</f>
        <v>241405</v>
      </c>
      <c r="E1885">
        <v>4791</v>
      </c>
      <c r="F1885">
        <v>2775</v>
      </c>
      <c r="G1885" s="1">
        <v>0.57920000000000005</v>
      </c>
      <c r="H1885">
        <v>3</v>
      </c>
      <c r="I1885">
        <v>4762</v>
      </c>
    </row>
    <row r="1886" spans="1:9" x14ac:dyDescent="0.35">
      <c r="A1886" t="s">
        <v>9</v>
      </c>
      <c r="B1886" t="s">
        <v>1750</v>
      </c>
      <c r="C1886" t="s">
        <v>1861</v>
      </c>
      <c r="D1886" t="str">
        <f>"241501"</f>
        <v>241501</v>
      </c>
      <c r="E1886">
        <v>10133</v>
      </c>
      <c r="F1886">
        <v>5695</v>
      </c>
      <c r="G1886" s="1">
        <v>0.56200000000000006</v>
      </c>
      <c r="H1886">
        <v>5</v>
      </c>
      <c r="I1886">
        <v>10095</v>
      </c>
    </row>
    <row r="1887" spans="1:9" x14ac:dyDescent="0.35">
      <c r="A1887" t="s">
        <v>9</v>
      </c>
      <c r="B1887" t="s">
        <v>1750</v>
      </c>
      <c r="C1887" t="s">
        <v>1862</v>
      </c>
      <c r="D1887" t="str">
        <f>"241502"</f>
        <v>241502</v>
      </c>
      <c r="E1887">
        <v>12728</v>
      </c>
      <c r="F1887">
        <v>6716</v>
      </c>
      <c r="G1887" s="1">
        <v>0.52769999999999995</v>
      </c>
      <c r="H1887">
        <v>9</v>
      </c>
      <c r="I1887">
        <v>12693</v>
      </c>
    </row>
    <row r="1888" spans="1:9" x14ac:dyDescent="0.35">
      <c r="A1888" t="s">
        <v>9</v>
      </c>
      <c r="B1888" t="s">
        <v>1750</v>
      </c>
      <c r="C1888" t="s">
        <v>1863</v>
      </c>
      <c r="D1888" t="str">
        <f>"241503"</f>
        <v>241503</v>
      </c>
      <c r="E1888">
        <v>15325</v>
      </c>
      <c r="F1888">
        <v>8624</v>
      </c>
      <c r="G1888" s="1">
        <v>0.56269999999999998</v>
      </c>
      <c r="H1888">
        <v>12</v>
      </c>
      <c r="I1888">
        <v>15136</v>
      </c>
    </row>
    <row r="1889" spans="1:9" x14ac:dyDescent="0.35">
      <c r="A1889" t="s">
        <v>9</v>
      </c>
      <c r="B1889" t="s">
        <v>1750</v>
      </c>
      <c r="C1889" t="s">
        <v>1864</v>
      </c>
      <c r="D1889" t="str">
        <f>"241504"</f>
        <v>241504</v>
      </c>
      <c r="E1889">
        <v>34476</v>
      </c>
      <c r="F1889">
        <v>19647</v>
      </c>
      <c r="G1889" s="1">
        <v>0.56989999999999996</v>
      </c>
      <c r="H1889">
        <v>23</v>
      </c>
      <c r="I1889">
        <v>34262</v>
      </c>
    </row>
    <row r="1890" spans="1:9" x14ac:dyDescent="0.35">
      <c r="A1890" t="s">
        <v>9</v>
      </c>
      <c r="B1890" t="s">
        <v>1750</v>
      </c>
      <c r="C1890" t="s">
        <v>1865</v>
      </c>
      <c r="D1890" t="str">
        <f>"241505"</f>
        <v>241505</v>
      </c>
      <c r="E1890">
        <v>10585</v>
      </c>
      <c r="F1890">
        <v>6350</v>
      </c>
      <c r="G1890" s="1">
        <v>0.59989999999999999</v>
      </c>
      <c r="H1890">
        <v>15</v>
      </c>
      <c r="I1890">
        <v>10556</v>
      </c>
    </row>
    <row r="1891" spans="1:9" x14ac:dyDescent="0.35">
      <c r="A1891" t="s">
        <v>9</v>
      </c>
      <c r="B1891" t="s">
        <v>1750</v>
      </c>
      <c r="C1891" t="s">
        <v>1499</v>
      </c>
      <c r="D1891" t="str">
        <f>"241506"</f>
        <v>241506</v>
      </c>
      <c r="E1891">
        <v>15766</v>
      </c>
      <c r="F1891">
        <v>8990</v>
      </c>
      <c r="G1891" s="1">
        <v>0.57020000000000004</v>
      </c>
      <c r="H1891">
        <v>15</v>
      </c>
      <c r="I1891">
        <v>15740</v>
      </c>
    </row>
    <row r="1892" spans="1:9" x14ac:dyDescent="0.35">
      <c r="A1892" t="s">
        <v>9</v>
      </c>
      <c r="B1892" t="s">
        <v>1750</v>
      </c>
      <c r="C1892" t="s">
        <v>1866</v>
      </c>
      <c r="D1892" t="str">
        <f>"241507"</f>
        <v>241507</v>
      </c>
      <c r="E1892">
        <v>5937</v>
      </c>
      <c r="F1892">
        <v>3186</v>
      </c>
      <c r="G1892" s="1">
        <v>0.53659999999999997</v>
      </c>
      <c r="H1892">
        <v>7</v>
      </c>
      <c r="I1892">
        <v>5920</v>
      </c>
    </row>
    <row r="1893" spans="1:9" x14ac:dyDescent="0.35">
      <c r="A1893" t="s">
        <v>9</v>
      </c>
      <c r="B1893" t="s">
        <v>1750</v>
      </c>
      <c r="C1893" t="s">
        <v>1867</v>
      </c>
      <c r="D1893" t="str">
        <f>"241508"</f>
        <v>241508</v>
      </c>
      <c r="E1893">
        <v>4141</v>
      </c>
      <c r="F1893">
        <v>2492</v>
      </c>
      <c r="G1893" s="1">
        <v>0.6018</v>
      </c>
      <c r="H1893">
        <v>4</v>
      </c>
      <c r="I1893">
        <v>4136</v>
      </c>
    </row>
    <row r="1894" spans="1:9" x14ac:dyDescent="0.35">
      <c r="A1894" t="s">
        <v>9</v>
      </c>
      <c r="B1894" t="s">
        <v>1750</v>
      </c>
      <c r="C1894" t="s">
        <v>1868</v>
      </c>
      <c r="D1894" t="str">
        <f>"241509"</f>
        <v>241509</v>
      </c>
      <c r="E1894">
        <v>5793</v>
      </c>
      <c r="F1894">
        <v>3380</v>
      </c>
      <c r="G1894" s="1">
        <v>0.58350000000000002</v>
      </c>
      <c r="H1894">
        <v>4</v>
      </c>
      <c r="I1894">
        <v>5750</v>
      </c>
    </row>
    <row r="1895" spans="1:9" x14ac:dyDescent="0.35">
      <c r="A1895" t="s">
        <v>9</v>
      </c>
      <c r="B1895" t="s">
        <v>1750</v>
      </c>
      <c r="C1895" t="s">
        <v>1869</v>
      </c>
      <c r="D1895" t="str">
        <f>"241601"</f>
        <v>241601</v>
      </c>
      <c r="E1895">
        <v>6446</v>
      </c>
      <c r="F1895">
        <v>3788</v>
      </c>
      <c r="G1895" s="1">
        <v>0.5877</v>
      </c>
      <c r="H1895">
        <v>7</v>
      </c>
      <c r="I1895">
        <v>6434</v>
      </c>
    </row>
    <row r="1896" spans="1:9" x14ac:dyDescent="0.35">
      <c r="A1896" t="s">
        <v>9</v>
      </c>
      <c r="B1896" t="s">
        <v>1750</v>
      </c>
      <c r="C1896" t="s">
        <v>1870</v>
      </c>
      <c r="D1896" t="str">
        <f>"241602"</f>
        <v>241602</v>
      </c>
      <c r="E1896">
        <v>36380</v>
      </c>
      <c r="F1896">
        <v>21014</v>
      </c>
      <c r="G1896" s="1">
        <v>0.5776</v>
      </c>
      <c r="H1896">
        <v>39</v>
      </c>
      <c r="I1896">
        <v>36120</v>
      </c>
    </row>
    <row r="1897" spans="1:9" x14ac:dyDescent="0.35">
      <c r="A1897" t="s">
        <v>9</v>
      </c>
      <c r="B1897" t="s">
        <v>1750</v>
      </c>
      <c r="C1897" t="s">
        <v>1871</v>
      </c>
      <c r="D1897" t="str">
        <f>"241603"</f>
        <v>241603</v>
      </c>
      <c r="E1897">
        <v>2088</v>
      </c>
      <c r="F1897">
        <v>1256</v>
      </c>
      <c r="G1897" s="1">
        <v>0.60150000000000003</v>
      </c>
      <c r="H1897">
        <v>5</v>
      </c>
      <c r="I1897">
        <v>2060</v>
      </c>
    </row>
    <row r="1898" spans="1:9" x14ac:dyDescent="0.35">
      <c r="A1898" t="s">
        <v>9</v>
      </c>
      <c r="B1898" t="s">
        <v>1750</v>
      </c>
      <c r="C1898" t="s">
        <v>1872</v>
      </c>
      <c r="D1898" t="str">
        <f>"241604"</f>
        <v>241604</v>
      </c>
      <c r="E1898">
        <v>5068</v>
      </c>
      <c r="F1898">
        <v>3022</v>
      </c>
      <c r="G1898" s="1">
        <v>0.59630000000000005</v>
      </c>
      <c r="H1898">
        <v>6</v>
      </c>
      <c r="I1898">
        <v>5003</v>
      </c>
    </row>
    <row r="1899" spans="1:9" x14ac:dyDescent="0.35">
      <c r="A1899" t="s">
        <v>9</v>
      </c>
      <c r="B1899" t="s">
        <v>1750</v>
      </c>
      <c r="C1899" t="s">
        <v>1873</v>
      </c>
      <c r="D1899" t="str">
        <f>"241605"</f>
        <v>241605</v>
      </c>
      <c r="E1899">
        <v>12223</v>
      </c>
      <c r="F1899">
        <v>7061</v>
      </c>
      <c r="G1899" s="1">
        <v>0.57769999999999999</v>
      </c>
      <c r="H1899">
        <v>12</v>
      </c>
      <c r="I1899">
        <v>12176</v>
      </c>
    </row>
    <row r="1900" spans="1:9" x14ac:dyDescent="0.35">
      <c r="A1900" t="s">
        <v>9</v>
      </c>
      <c r="B1900" t="s">
        <v>1750</v>
      </c>
      <c r="C1900" t="s">
        <v>1874</v>
      </c>
      <c r="D1900" t="str">
        <f>"241606"</f>
        <v>241606</v>
      </c>
      <c r="E1900">
        <v>7290</v>
      </c>
      <c r="F1900">
        <v>4364</v>
      </c>
      <c r="G1900" s="1">
        <v>0.59860000000000002</v>
      </c>
      <c r="H1900">
        <v>8</v>
      </c>
      <c r="I1900">
        <v>7240</v>
      </c>
    </row>
    <row r="1901" spans="1:9" x14ac:dyDescent="0.35">
      <c r="A1901" t="s">
        <v>9</v>
      </c>
      <c r="B1901" t="s">
        <v>1750</v>
      </c>
      <c r="C1901" t="s">
        <v>1875</v>
      </c>
      <c r="D1901" t="str">
        <f>"241607"</f>
        <v>241607</v>
      </c>
      <c r="E1901">
        <v>6707</v>
      </c>
      <c r="F1901">
        <v>3441</v>
      </c>
      <c r="G1901" s="1">
        <v>0.51300000000000001</v>
      </c>
      <c r="H1901">
        <v>10</v>
      </c>
      <c r="I1901">
        <v>6667</v>
      </c>
    </row>
    <row r="1902" spans="1:9" x14ac:dyDescent="0.35">
      <c r="A1902" t="s">
        <v>9</v>
      </c>
      <c r="B1902" t="s">
        <v>1750</v>
      </c>
      <c r="C1902" t="s">
        <v>1876</v>
      </c>
      <c r="D1902" t="str">
        <f>"241608"</f>
        <v>241608</v>
      </c>
      <c r="E1902">
        <v>5893</v>
      </c>
      <c r="F1902">
        <v>3245</v>
      </c>
      <c r="G1902" s="1">
        <v>0.55069999999999997</v>
      </c>
      <c r="H1902">
        <v>12</v>
      </c>
      <c r="I1902">
        <v>5847</v>
      </c>
    </row>
    <row r="1903" spans="1:9" x14ac:dyDescent="0.35">
      <c r="A1903" t="s">
        <v>9</v>
      </c>
      <c r="B1903" t="s">
        <v>1750</v>
      </c>
      <c r="C1903" t="s">
        <v>1877</v>
      </c>
      <c r="D1903" t="str">
        <f>"241609"</f>
        <v>241609</v>
      </c>
      <c r="E1903">
        <v>4117</v>
      </c>
      <c r="F1903">
        <v>2464</v>
      </c>
      <c r="G1903" s="1">
        <v>0.59850000000000003</v>
      </c>
      <c r="H1903">
        <v>8</v>
      </c>
      <c r="I1903">
        <v>4084</v>
      </c>
    </row>
    <row r="1904" spans="1:9" x14ac:dyDescent="0.35">
      <c r="A1904" t="s">
        <v>9</v>
      </c>
      <c r="B1904" t="s">
        <v>1750</v>
      </c>
      <c r="C1904" t="s">
        <v>1878</v>
      </c>
      <c r="D1904" t="str">
        <f>"241610"</f>
        <v>241610</v>
      </c>
      <c r="E1904">
        <v>3573</v>
      </c>
      <c r="F1904">
        <v>1996</v>
      </c>
      <c r="G1904" s="1">
        <v>0.55859999999999999</v>
      </c>
      <c r="H1904">
        <v>10</v>
      </c>
      <c r="I1904">
        <v>3529</v>
      </c>
    </row>
    <row r="1905" spans="1:9" x14ac:dyDescent="0.35">
      <c r="A1905" t="s">
        <v>9</v>
      </c>
      <c r="B1905" t="s">
        <v>1750</v>
      </c>
      <c r="C1905" t="s">
        <v>1879</v>
      </c>
      <c r="D1905" t="str">
        <f>"241701"</f>
        <v>241701</v>
      </c>
      <c r="E1905">
        <v>22606</v>
      </c>
      <c r="F1905">
        <v>13750</v>
      </c>
      <c r="G1905" s="1">
        <v>0.60819999999999996</v>
      </c>
      <c r="H1905">
        <v>18</v>
      </c>
      <c r="I1905">
        <v>22504</v>
      </c>
    </row>
    <row r="1906" spans="1:9" x14ac:dyDescent="0.35">
      <c r="A1906" t="s">
        <v>9</v>
      </c>
      <c r="B1906" t="s">
        <v>1750</v>
      </c>
      <c r="C1906" t="s">
        <v>830</v>
      </c>
      <c r="D1906" t="str">
        <f>"241702"</f>
        <v>241702</v>
      </c>
      <c r="E1906">
        <v>5093</v>
      </c>
      <c r="F1906">
        <v>3057</v>
      </c>
      <c r="G1906" s="1">
        <v>0.60019999999999996</v>
      </c>
      <c r="H1906">
        <v>5</v>
      </c>
      <c r="I1906">
        <v>4945</v>
      </c>
    </row>
    <row r="1907" spans="1:9" x14ac:dyDescent="0.35">
      <c r="A1907" t="s">
        <v>9</v>
      </c>
      <c r="B1907" t="s">
        <v>1750</v>
      </c>
      <c r="C1907" t="s">
        <v>1880</v>
      </c>
      <c r="D1907" t="str">
        <f>"241703"</f>
        <v>241703</v>
      </c>
      <c r="E1907">
        <v>4743</v>
      </c>
      <c r="F1907">
        <v>2816</v>
      </c>
      <c r="G1907" s="1">
        <v>0.59370000000000001</v>
      </c>
      <c r="H1907">
        <v>3</v>
      </c>
      <c r="I1907">
        <v>4731</v>
      </c>
    </row>
    <row r="1908" spans="1:9" x14ac:dyDescent="0.35">
      <c r="A1908" t="s">
        <v>9</v>
      </c>
      <c r="B1908" t="s">
        <v>1750</v>
      </c>
      <c r="C1908" t="s">
        <v>1881</v>
      </c>
      <c r="D1908" t="str">
        <f>"241704"</f>
        <v>241704</v>
      </c>
      <c r="E1908">
        <v>10201</v>
      </c>
      <c r="F1908">
        <v>5691</v>
      </c>
      <c r="G1908" s="1">
        <v>0.55789999999999995</v>
      </c>
      <c r="H1908">
        <v>11</v>
      </c>
      <c r="I1908">
        <v>10019</v>
      </c>
    </row>
    <row r="1909" spans="1:9" x14ac:dyDescent="0.35">
      <c r="A1909" t="s">
        <v>9</v>
      </c>
      <c r="B1909" t="s">
        <v>1750</v>
      </c>
      <c r="C1909" t="s">
        <v>1882</v>
      </c>
      <c r="D1909" t="str">
        <f>"241705"</f>
        <v>241705</v>
      </c>
      <c r="E1909">
        <v>1833</v>
      </c>
      <c r="F1909">
        <v>1199</v>
      </c>
      <c r="G1909" s="1">
        <v>0.65410000000000001</v>
      </c>
      <c r="H1909">
        <v>4</v>
      </c>
      <c r="I1909">
        <v>1795</v>
      </c>
    </row>
    <row r="1910" spans="1:9" x14ac:dyDescent="0.35">
      <c r="A1910" t="s">
        <v>9</v>
      </c>
      <c r="B1910" t="s">
        <v>1750</v>
      </c>
      <c r="C1910" t="s">
        <v>1883</v>
      </c>
      <c r="D1910" t="str">
        <f>"241706"</f>
        <v>241706</v>
      </c>
      <c r="E1910">
        <v>8342</v>
      </c>
      <c r="F1910">
        <v>5078</v>
      </c>
      <c r="G1910" s="1">
        <v>0.60870000000000002</v>
      </c>
      <c r="H1910">
        <v>7</v>
      </c>
      <c r="I1910">
        <v>8314</v>
      </c>
    </row>
    <row r="1911" spans="1:9" x14ac:dyDescent="0.35">
      <c r="A1911" t="s">
        <v>9</v>
      </c>
      <c r="B1911" t="s">
        <v>1750</v>
      </c>
      <c r="C1911" t="s">
        <v>1884</v>
      </c>
      <c r="D1911" t="str">
        <f>"241707"</f>
        <v>241707</v>
      </c>
      <c r="E1911">
        <v>3475</v>
      </c>
      <c r="F1911">
        <v>2232</v>
      </c>
      <c r="G1911" s="1">
        <v>0.64229999999999998</v>
      </c>
      <c r="H1911">
        <v>4</v>
      </c>
      <c r="I1911">
        <v>3464</v>
      </c>
    </row>
    <row r="1912" spans="1:9" x14ac:dyDescent="0.35">
      <c r="A1912" t="s">
        <v>9</v>
      </c>
      <c r="B1912" t="s">
        <v>1750</v>
      </c>
      <c r="C1912" t="s">
        <v>1885</v>
      </c>
      <c r="D1912" t="str">
        <f>"241708"</f>
        <v>241708</v>
      </c>
      <c r="E1912">
        <v>11241</v>
      </c>
      <c r="F1912">
        <v>6994</v>
      </c>
      <c r="G1912" s="1">
        <v>0.62219999999999998</v>
      </c>
      <c r="H1912">
        <v>7</v>
      </c>
      <c r="I1912">
        <v>11211</v>
      </c>
    </row>
    <row r="1913" spans="1:9" x14ac:dyDescent="0.35">
      <c r="A1913" t="s">
        <v>9</v>
      </c>
      <c r="B1913" t="s">
        <v>1750</v>
      </c>
      <c r="C1913" t="s">
        <v>1886</v>
      </c>
      <c r="D1913" t="str">
        <f>"241709"</f>
        <v>241709</v>
      </c>
      <c r="E1913">
        <v>7651</v>
      </c>
      <c r="F1913">
        <v>4492</v>
      </c>
      <c r="G1913" s="1">
        <v>0.58709999999999996</v>
      </c>
      <c r="H1913">
        <v>7</v>
      </c>
      <c r="I1913">
        <v>7611</v>
      </c>
    </row>
    <row r="1914" spans="1:9" x14ac:dyDescent="0.35">
      <c r="A1914" t="s">
        <v>9</v>
      </c>
      <c r="B1914" t="s">
        <v>1750</v>
      </c>
      <c r="C1914" t="s">
        <v>1887</v>
      </c>
      <c r="D1914" t="str">
        <f>"241710"</f>
        <v>241710</v>
      </c>
      <c r="E1914">
        <v>9848</v>
      </c>
      <c r="F1914">
        <v>5764</v>
      </c>
      <c r="G1914" s="1">
        <v>0.58530000000000004</v>
      </c>
      <c r="H1914">
        <v>8</v>
      </c>
      <c r="I1914">
        <v>9824</v>
      </c>
    </row>
    <row r="1915" spans="1:9" x14ac:dyDescent="0.35">
      <c r="A1915" t="s">
        <v>9</v>
      </c>
      <c r="B1915" t="s">
        <v>1750</v>
      </c>
      <c r="C1915" t="s">
        <v>1888</v>
      </c>
      <c r="D1915" t="str">
        <f>"241711"</f>
        <v>241711</v>
      </c>
      <c r="E1915">
        <v>6660</v>
      </c>
      <c r="F1915">
        <v>3790</v>
      </c>
      <c r="G1915" s="1">
        <v>0.56910000000000005</v>
      </c>
      <c r="H1915">
        <v>8</v>
      </c>
      <c r="I1915">
        <v>6513</v>
      </c>
    </row>
    <row r="1916" spans="1:9" x14ac:dyDescent="0.35">
      <c r="A1916" t="s">
        <v>9</v>
      </c>
      <c r="B1916" t="s">
        <v>1750</v>
      </c>
      <c r="C1916" t="s">
        <v>1889</v>
      </c>
      <c r="D1916" t="str">
        <f>"241712"</f>
        <v>241712</v>
      </c>
      <c r="E1916">
        <v>2769</v>
      </c>
      <c r="F1916">
        <v>1810</v>
      </c>
      <c r="G1916" s="1">
        <v>0.65369999999999995</v>
      </c>
      <c r="H1916">
        <v>3</v>
      </c>
      <c r="I1916">
        <v>2744</v>
      </c>
    </row>
    <row r="1917" spans="1:9" x14ac:dyDescent="0.35">
      <c r="A1917" t="s">
        <v>9</v>
      </c>
      <c r="B1917" t="s">
        <v>1750</v>
      </c>
      <c r="C1917" t="s">
        <v>1890</v>
      </c>
      <c r="D1917" t="str">
        <f>"241713"</f>
        <v>241713</v>
      </c>
      <c r="E1917">
        <v>6182</v>
      </c>
      <c r="F1917">
        <v>3610</v>
      </c>
      <c r="G1917" s="1">
        <v>0.58399999999999996</v>
      </c>
      <c r="H1917">
        <v>6</v>
      </c>
      <c r="I1917">
        <v>6170</v>
      </c>
    </row>
    <row r="1918" spans="1:9" x14ac:dyDescent="0.35">
      <c r="A1918" t="s">
        <v>9</v>
      </c>
      <c r="B1918" t="s">
        <v>1750</v>
      </c>
      <c r="C1918" t="s">
        <v>1891</v>
      </c>
      <c r="D1918" t="str">
        <f>"241714"</f>
        <v>241714</v>
      </c>
      <c r="E1918">
        <v>3446</v>
      </c>
      <c r="F1918">
        <v>1990</v>
      </c>
      <c r="G1918" s="1">
        <v>0.57750000000000001</v>
      </c>
      <c r="H1918">
        <v>5</v>
      </c>
      <c r="I1918">
        <v>3413</v>
      </c>
    </row>
    <row r="1919" spans="1:9" x14ac:dyDescent="0.35">
      <c r="A1919" t="s">
        <v>9</v>
      </c>
      <c r="B1919" t="s">
        <v>1750</v>
      </c>
      <c r="C1919" t="s">
        <v>1892</v>
      </c>
      <c r="D1919" t="str">
        <f>"241715"</f>
        <v>241715</v>
      </c>
      <c r="E1919">
        <v>11223</v>
      </c>
      <c r="F1919">
        <v>6447</v>
      </c>
      <c r="G1919" s="1">
        <v>0.57440000000000002</v>
      </c>
      <c r="H1919">
        <v>8</v>
      </c>
      <c r="I1919">
        <v>11130</v>
      </c>
    </row>
    <row r="1920" spans="1:9" x14ac:dyDescent="0.35">
      <c r="A1920" t="s">
        <v>9</v>
      </c>
      <c r="B1920" t="s">
        <v>1750</v>
      </c>
      <c r="C1920" t="s">
        <v>1893</v>
      </c>
      <c r="D1920" t="str">
        <f>"246101"</f>
        <v>246101</v>
      </c>
      <c r="E1920">
        <v>124042</v>
      </c>
      <c r="F1920">
        <v>75944</v>
      </c>
      <c r="G1920" s="1">
        <v>0.61219999999999997</v>
      </c>
      <c r="H1920">
        <v>67</v>
      </c>
      <c r="I1920">
        <v>122572</v>
      </c>
    </row>
    <row r="1921" spans="1:9" x14ac:dyDescent="0.35">
      <c r="A1921" t="s">
        <v>9</v>
      </c>
      <c r="B1921" t="s">
        <v>1750</v>
      </c>
      <c r="C1921" t="s">
        <v>1894</v>
      </c>
      <c r="D1921" t="str">
        <f>"246201"</f>
        <v>246201</v>
      </c>
      <c r="E1921">
        <v>107552</v>
      </c>
      <c r="F1921">
        <v>55432</v>
      </c>
      <c r="G1921" s="1">
        <v>0.51539999999999997</v>
      </c>
      <c r="H1921">
        <v>69</v>
      </c>
      <c r="I1921">
        <v>107234</v>
      </c>
    </row>
    <row r="1922" spans="1:9" x14ac:dyDescent="0.35">
      <c r="A1922" t="s">
        <v>9</v>
      </c>
      <c r="B1922" t="s">
        <v>1750</v>
      </c>
      <c r="C1922" t="s">
        <v>1895</v>
      </c>
      <c r="D1922" t="str">
        <f>"246301"</f>
        <v>246301</v>
      </c>
      <c r="E1922">
        <v>73415</v>
      </c>
      <c r="F1922">
        <v>41131</v>
      </c>
      <c r="G1922" s="1">
        <v>0.56030000000000002</v>
      </c>
      <c r="H1922">
        <v>53</v>
      </c>
      <c r="I1922">
        <v>72960</v>
      </c>
    </row>
    <row r="1923" spans="1:9" x14ac:dyDescent="0.35">
      <c r="A1923" t="s">
        <v>9</v>
      </c>
      <c r="B1923" t="s">
        <v>1750</v>
      </c>
      <c r="C1923" t="s">
        <v>1896</v>
      </c>
      <c r="D1923" t="str">
        <f>"246401"</f>
        <v>246401</v>
      </c>
      <c r="E1923">
        <v>158501</v>
      </c>
      <c r="F1923">
        <v>95626</v>
      </c>
      <c r="G1923" s="1">
        <v>0.60329999999999995</v>
      </c>
      <c r="H1923">
        <v>126</v>
      </c>
      <c r="I1923">
        <v>156916</v>
      </c>
    </row>
    <row r="1924" spans="1:9" x14ac:dyDescent="0.35">
      <c r="A1924" t="s">
        <v>9</v>
      </c>
      <c r="B1924" t="s">
        <v>1750</v>
      </c>
      <c r="C1924" t="s">
        <v>1897</v>
      </c>
      <c r="D1924" t="str">
        <f>"246501"</f>
        <v>246501</v>
      </c>
      <c r="E1924">
        <v>87547</v>
      </c>
      <c r="F1924">
        <v>52727</v>
      </c>
      <c r="G1924" s="1">
        <v>0.60229999999999995</v>
      </c>
      <c r="H1924">
        <v>65</v>
      </c>
      <c r="I1924">
        <v>86720</v>
      </c>
    </row>
    <row r="1925" spans="1:9" x14ac:dyDescent="0.35">
      <c r="A1925" t="s">
        <v>9</v>
      </c>
      <c r="B1925" t="s">
        <v>1750</v>
      </c>
      <c r="C1925" t="s">
        <v>1898</v>
      </c>
      <c r="D1925" t="str">
        <f>"246601"</f>
        <v>246601</v>
      </c>
      <c r="E1925">
        <v>127740</v>
      </c>
      <c r="F1925">
        <v>77293</v>
      </c>
      <c r="G1925" s="1">
        <v>0.60509999999999997</v>
      </c>
      <c r="H1925">
        <v>106</v>
      </c>
      <c r="I1925">
        <v>126772</v>
      </c>
    </row>
    <row r="1926" spans="1:9" x14ac:dyDescent="0.35">
      <c r="A1926" t="s">
        <v>9</v>
      </c>
      <c r="B1926" t="s">
        <v>1750</v>
      </c>
      <c r="C1926" t="s">
        <v>1899</v>
      </c>
      <c r="D1926" t="str">
        <f>"246701"</f>
        <v>246701</v>
      </c>
      <c r="E1926">
        <v>62000</v>
      </c>
      <c r="F1926">
        <v>32548</v>
      </c>
      <c r="G1926" s="1">
        <v>0.52500000000000002</v>
      </c>
      <c r="H1926">
        <v>34</v>
      </c>
      <c r="I1926">
        <v>61812</v>
      </c>
    </row>
    <row r="1927" spans="1:9" x14ac:dyDescent="0.35">
      <c r="A1927" t="s">
        <v>9</v>
      </c>
      <c r="B1927" t="s">
        <v>1750</v>
      </c>
      <c r="C1927" t="s">
        <v>1900</v>
      </c>
      <c r="D1927" t="str">
        <f>"246801"</f>
        <v>246801</v>
      </c>
      <c r="E1927">
        <v>66307</v>
      </c>
      <c r="F1927">
        <v>38717</v>
      </c>
      <c r="G1927" s="1">
        <v>0.58389999999999997</v>
      </c>
      <c r="H1927">
        <v>45</v>
      </c>
      <c r="I1927">
        <v>66015</v>
      </c>
    </row>
    <row r="1928" spans="1:9" x14ac:dyDescent="0.35">
      <c r="A1928" t="s">
        <v>9</v>
      </c>
      <c r="B1928" t="s">
        <v>1750</v>
      </c>
      <c r="C1928" t="s">
        <v>1901</v>
      </c>
      <c r="D1928" t="str">
        <f>"246901"</f>
        <v>246901</v>
      </c>
      <c r="E1928">
        <v>214019</v>
      </c>
      <c r="F1928">
        <v>129263</v>
      </c>
      <c r="G1928" s="1">
        <v>0.60399999999999998</v>
      </c>
      <c r="H1928">
        <v>148</v>
      </c>
      <c r="I1928">
        <v>212649</v>
      </c>
    </row>
    <row r="1929" spans="1:9" x14ac:dyDescent="0.35">
      <c r="A1929" t="s">
        <v>9</v>
      </c>
      <c r="B1929" t="s">
        <v>1750</v>
      </c>
      <c r="C1929" t="s">
        <v>1902</v>
      </c>
      <c r="D1929" t="str">
        <f>"247001"</f>
        <v>247001</v>
      </c>
      <c r="E1929">
        <v>52554</v>
      </c>
      <c r="F1929">
        <v>29957</v>
      </c>
      <c r="G1929" s="1">
        <v>0.56999999999999995</v>
      </c>
      <c r="H1929">
        <v>37</v>
      </c>
      <c r="I1929">
        <v>52396</v>
      </c>
    </row>
    <row r="1930" spans="1:9" x14ac:dyDescent="0.35">
      <c r="A1930" t="s">
        <v>9</v>
      </c>
      <c r="B1930" t="s">
        <v>1750</v>
      </c>
      <c r="C1930" t="s">
        <v>1903</v>
      </c>
      <c r="D1930" t="str">
        <f>"247101"</f>
        <v>247101</v>
      </c>
      <c r="E1930">
        <v>39317</v>
      </c>
      <c r="F1930">
        <v>22106</v>
      </c>
      <c r="G1930" s="1">
        <v>0.56230000000000002</v>
      </c>
      <c r="H1930">
        <v>28</v>
      </c>
      <c r="I1930">
        <v>39245</v>
      </c>
    </row>
    <row r="1931" spans="1:9" x14ac:dyDescent="0.35">
      <c r="A1931" t="s">
        <v>9</v>
      </c>
      <c r="B1931" t="s">
        <v>1750</v>
      </c>
      <c r="C1931" t="s">
        <v>1904</v>
      </c>
      <c r="D1931" t="str">
        <f>"247201"</f>
        <v>247201</v>
      </c>
      <c r="E1931">
        <v>98140</v>
      </c>
      <c r="F1931">
        <v>54854</v>
      </c>
      <c r="G1931" s="1">
        <v>0.55889999999999995</v>
      </c>
      <c r="H1931">
        <v>74</v>
      </c>
      <c r="I1931">
        <v>97855</v>
      </c>
    </row>
    <row r="1932" spans="1:9" x14ac:dyDescent="0.35">
      <c r="A1932" t="s">
        <v>9</v>
      </c>
      <c r="B1932" t="s">
        <v>1750</v>
      </c>
      <c r="C1932" t="s">
        <v>1905</v>
      </c>
      <c r="D1932" t="str">
        <f>"247301"</f>
        <v>247301</v>
      </c>
      <c r="E1932">
        <v>97451</v>
      </c>
      <c r="F1932">
        <v>55712</v>
      </c>
      <c r="G1932" s="1">
        <v>0.57169999999999999</v>
      </c>
      <c r="H1932">
        <v>66</v>
      </c>
      <c r="I1932">
        <v>96932</v>
      </c>
    </row>
    <row r="1933" spans="1:9" x14ac:dyDescent="0.35">
      <c r="A1933" t="s">
        <v>9</v>
      </c>
      <c r="B1933" t="s">
        <v>1750</v>
      </c>
      <c r="C1933" t="s">
        <v>1906</v>
      </c>
      <c r="D1933" t="str">
        <f>"247401"</f>
        <v>247401</v>
      </c>
      <c r="E1933">
        <v>47601</v>
      </c>
      <c r="F1933">
        <v>27606</v>
      </c>
      <c r="G1933" s="1">
        <v>0.57989999999999997</v>
      </c>
      <c r="H1933">
        <v>39</v>
      </c>
      <c r="I1933">
        <v>47319</v>
      </c>
    </row>
    <row r="1934" spans="1:9" x14ac:dyDescent="0.35">
      <c r="A1934" t="s">
        <v>9</v>
      </c>
      <c r="B1934" t="s">
        <v>1750</v>
      </c>
      <c r="C1934" t="s">
        <v>1907</v>
      </c>
      <c r="D1934" t="str">
        <f>"247501"</f>
        <v>247501</v>
      </c>
      <c r="E1934">
        <v>144755</v>
      </c>
      <c r="F1934">
        <v>84915</v>
      </c>
      <c r="G1934" s="1">
        <v>0.58660000000000001</v>
      </c>
      <c r="H1934">
        <v>99</v>
      </c>
      <c r="I1934">
        <v>143906</v>
      </c>
    </row>
    <row r="1935" spans="1:9" x14ac:dyDescent="0.35">
      <c r="A1935" t="s">
        <v>9</v>
      </c>
      <c r="B1935" t="s">
        <v>1750</v>
      </c>
      <c r="C1935" t="s">
        <v>1908</v>
      </c>
      <c r="D1935" t="str">
        <f>"247601"</f>
        <v>247601</v>
      </c>
      <c r="E1935">
        <v>34083</v>
      </c>
      <c r="F1935">
        <v>17800</v>
      </c>
      <c r="G1935" s="1">
        <v>0.52229999999999999</v>
      </c>
      <c r="H1935">
        <v>23</v>
      </c>
      <c r="I1935">
        <v>33934</v>
      </c>
    </row>
    <row r="1936" spans="1:9" x14ac:dyDescent="0.35">
      <c r="A1936" t="s">
        <v>9</v>
      </c>
      <c r="B1936" t="s">
        <v>1750</v>
      </c>
      <c r="C1936" t="s">
        <v>1909</v>
      </c>
      <c r="D1936" t="str">
        <f>"247701"</f>
        <v>247701</v>
      </c>
      <c r="E1936">
        <v>91014</v>
      </c>
      <c r="F1936">
        <v>55127</v>
      </c>
      <c r="G1936" s="1">
        <v>0.60570000000000002</v>
      </c>
      <c r="H1936">
        <v>63</v>
      </c>
      <c r="I1936">
        <v>90212</v>
      </c>
    </row>
    <row r="1937" spans="1:9" x14ac:dyDescent="0.35">
      <c r="A1937" t="s">
        <v>9</v>
      </c>
      <c r="B1937" t="s">
        <v>1750</v>
      </c>
      <c r="C1937" t="s">
        <v>1910</v>
      </c>
      <c r="D1937" t="str">
        <f>"247801"</f>
        <v>247801</v>
      </c>
      <c r="E1937">
        <v>116479</v>
      </c>
      <c r="F1937">
        <v>57905</v>
      </c>
      <c r="G1937" s="1">
        <v>0.49709999999999999</v>
      </c>
      <c r="H1937">
        <v>77</v>
      </c>
      <c r="I1937">
        <v>115832</v>
      </c>
    </row>
    <row r="1938" spans="1:9" x14ac:dyDescent="0.35">
      <c r="A1938" t="s">
        <v>9</v>
      </c>
      <c r="B1938" t="s">
        <v>1750</v>
      </c>
      <c r="C1938" t="s">
        <v>1911</v>
      </c>
      <c r="D1938" t="str">
        <f>"247901"</f>
        <v>247901</v>
      </c>
      <c r="E1938">
        <v>45080</v>
      </c>
      <c r="F1938">
        <v>24192</v>
      </c>
      <c r="G1938" s="1">
        <v>0.53659999999999997</v>
      </c>
      <c r="H1938">
        <v>23</v>
      </c>
      <c r="I1938">
        <v>44833</v>
      </c>
    </row>
    <row r="1939" spans="1:9" x14ac:dyDescent="0.35">
      <c r="A1939" t="s">
        <v>9</v>
      </c>
      <c r="B1939" t="s">
        <v>1912</v>
      </c>
      <c r="C1939" t="s">
        <v>1913</v>
      </c>
      <c r="D1939" t="str">
        <f>"260101"</f>
        <v>260101</v>
      </c>
      <c r="E1939">
        <v>24806</v>
      </c>
      <c r="F1939">
        <v>14024</v>
      </c>
      <c r="G1939" s="1">
        <v>0.56530000000000002</v>
      </c>
      <c r="H1939">
        <v>30</v>
      </c>
      <c r="I1939">
        <v>24147</v>
      </c>
    </row>
    <row r="1940" spans="1:9" x14ac:dyDescent="0.35">
      <c r="A1940" t="s">
        <v>9</v>
      </c>
      <c r="B1940" t="s">
        <v>1912</v>
      </c>
      <c r="C1940" t="s">
        <v>1914</v>
      </c>
      <c r="D1940" t="str">
        <f>"260102"</f>
        <v>260102</v>
      </c>
      <c r="E1940">
        <v>3415</v>
      </c>
      <c r="F1940">
        <v>1917</v>
      </c>
      <c r="G1940" s="1">
        <v>0.56130000000000002</v>
      </c>
      <c r="H1940">
        <v>6</v>
      </c>
      <c r="I1940">
        <v>3409</v>
      </c>
    </row>
    <row r="1941" spans="1:9" x14ac:dyDescent="0.35">
      <c r="A1941" t="s">
        <v>9</v>
      </c>
      <c r="B1941" t="s">
        <v>1912</v>
      </c>
      <c r="C1941" t="s">
        <v>1915</v>
      </c>
      <c r="D1941" t="str">
        <f>"260103"</f>
        <v>260103</v>
      </c>
      <c r="E1941">
        <v>4583</v>
      </c>
      <c r="F1941">
        <v>2405</v>
      </c>
      <c r="G1941" s="1">
        <v>0.52480000000000004</v>
      </c>
      <c r="H1941">
        <v>7</v>
      </c>
      <c r="I1941">
        <v>4552</v>
      </c>
    </row>
    <row r="1942" spans="1:9" x14ac:dyDescent="0.35">
      <c r="A1942" t="s">
        <v>9</v>
      </c>
      <c r="B1942" t="s">
        <v>1912</v>
      </c>
      <c r="C1942" t="s">
        <v>1916</v>
      </c>
      <c r="D1942" t="str">
        <f>"260104"</f>
        <v>260104</v>
      </c>
      <c r="E1942">
        <v>5626</v>
      </c>
      <c r="F1942">
        <v>2660</v>
      </c>
      <c r="G1942" s="1">
        <v>0.4728</v>
      </c>
      <c r="H1942">
        <v>6</v>
      </c>
      <c r="I1942">
        <v>5591</v>
      </c>
    </row>
    <row r="1943" spans="1:9" x14ac:dyDescent="0.35">
      <c r="A1943" t="s">
        <v>9</v>
      </c>
      <c r="B1943" t="s">
        <v>1912</v>
      </c>
      <c r="C1943" t="s">
        <v>1917</v>
      </c>
      <c r="D1943" t="str">
        <f>"260105"</f>
        <v>260105</v>
      </c>
      <c r="E1943">
        <v>4176</v>
      </c>
      <c r="F1943">
        <v>2361</v>
      </c>
      <c r="G1943" s="1">
        <v>0.56540000000000001</v>
      </c>
      <c r="H1943">
        <v>8</v>
      </c>
      <c r="I1943">
        <v>3905</v>
      </c>
    </row>
    <row r="1944" spans="1:9" x14ac:dyDescent="0.35">
      <c r="A1944" t="s">
        <v>9</v>
      </c>
      <c r="B1944" t="s">
        <v>1912</v>
      </c>
      <c r="C1944" t="s">
        <v>1918</v>
      </c>
      <c r="D1944" t="str">
        <f>"260106"</f>
        <v>260106</v>
      </c>
      <c r="E1944">
        <v>5961</v>
      </c>
      <c r="F1944">
        <v>3473</v>
      </c>
      <c r="G1944" s="1">
        <v>0.58260000000000001</v>
      </c>
      <c r="H1944">
        <v>14</v>
      </c>
      <c r="I1944">
        <v>5923</v>
      </c>
    </row>
    <row r="1945" spans="1:9" x14ac:dyDescent="0.35">
      <c r="A1945" t="s">
        <v>9</v>
      </c>
      <c r="B1945" t="s">
        <v>1912</v>
      </c>
      <c r="C1945" t="s">
        <v>1919</v>
      </c>
      <c r="D1945" t="str">
        <f>"260107"</f>
        <v>260107</v>
      </c>
      <c r="E1945">
        <v>2928</v>
      </c>
      <c r="F1945">
        <v>1559</v>
      </c>
      <c r="G1945" s="1">
        <v>0.53239999999999998</v>
      </c>
      <c r="H1945">
        <v>3</v>
      </c>
      <c r="I1945">
        <v>2923</v>
      </c>
    </row>
    <row r="1946" spans="1:9" x14ac:dyDescent="0.35">
      <c r="A1946" t="s">
        <v>9</v>
      </c>
      <c r="B1946" t="s">
        <v>1912</v>
      </c>
      <c r="C1946" t="s">
        <v>1920</v>
      </c>
      <c r="D1946" t="str">
        <f>"260108"</f>
        <v>260108</v>
      </c>
      <c r="E1946">
        <v>4275</v>
      </c>
      <c r="F1946">
        <v>2236</v>
      </c>
      <c r="G1946" s="1">
        <v>0.52300000000000002</v>
      </c>
      <c r="H1946">
        <v>8</v>
      </c>
      <c r="I1946">
        <v>4257</v>
      </c>
    </row>
    <row r="1947" spans="1:9" x14ac:dyDescent="0.35">
      <c r="A1947" t="s">
        <v>9</v>
      </c>
      <c r="B1947" t="s">
        <v>1912</v>
      </c>
      <c r="C1947" t="s">
        <v>1921</v>
      </c>
      <c r="D1947" t="str">
        <f>"260201"</f>
        <v>260201</v>
      </c>
      <c r="E1947">
        <v>3377</v>
      </c>
      <c r="F1947">
        <v>1720</v>
      </c>
      <c r="G1947" s="1">
        <v>0.50929999999999997</v>
      </c>
      <c r="H1947">
        <v>4</v>
      </c>
      <c r="I1947">
        <v>3354</v>
      </c>
    </row>
    <row r="1948" spans="1:9" x14ac:dyDescent="0.35">
      <c r="A1948" t="s">
        <v>9</v>
      </c>
      <c r="B1948" t="s">
        <v>1912</v>
      </c>
      <c r="C1948" t="s">
        <v>1922</v>
      </c>
      <c r="D1948" t="str">
        <f>"260202"</f>
        <v>260202</v>
      </c>
      <c r="E1948">
        <v>20920</v>
      </c>
      <c r="F1948">
        <v>11379</v>
      </c>
      <c r="G1948" s="1">
        <v>0.54390000000000005</v>
      </c>
      <c r="H1948">
        <v>28</v>
      </c>
      <c r="I1948">
        <v>20768</v>
      </c>
    </row>
    <row r="1949" spans="1:9" x14ac:dyDescent="0.35">
      <c r="A1949" t="s">
        <v>9</v>
      </c>
      <c r="B1949" t="s">
        <v>1912</v>
      </c>
      <c r="C1949" t="s">
        <v>1923</v>
      </c>
      <c r="D1949" t="str">
        <f>"260203"</f>
        <v>260203</v>
      </c>
      <c r="E1949">
        <v>8773</v>
      </c>
      <c r="F1949">
        <v>4973</v>
      </c>
      <c r="G1949" s="1">
        <v>0.56689999999999996</v>
      </c>
      <c r="H1949">
        <v>8</v>
      </c>
      <c r="I1949">
        <v>8741</v>
      </c>
    </row>
    <row r="1950" spans="1:9" x14ac:dyDescent="0.35">
      <c r="A1950" t="s">
        <v>9</v>
      </c>
      <c r="B1950" t="s">
        <v>1912</v>
      </c>
      <c r="C1950" t="s">
        <v>1924</v>
      </c>
      <c r="D1950" t="str">
        <f>"260204"</f>
        <v>260204</v>
      </c>
      <c r="E1950">
        <v>3835</v>
      </c>
      <c r="F1950">
        <v>2073</v>
      </c>
      <c r="G1950" s="1">
        <v>0.54049999999999998</v>
      </c>
      <c r="H1950">
        <v>8</v>
      </c>
      <c r="I1950">
        <v>3808</v>
      </c>
    </row>
    <row r="1951" spans="1:9" x14ac:dyDescent="0.35">
      <c r="A1951" t="s">
        <v>9</v>
      </c>
      <c r="B1951" t="s">
        <v>1912</v>
      </c>
      <c r="C1951" t="s">
        <v>1925</v>
      </c>
      <c r="D1951" t="str">
        <f>"260205"</f>
        <v>260205</v>
      </c>
      <c r="E1951">
        <v>3666</v>
      </c>
      <c r="F1951">
        <v>2164</v>
      </c>
      <c r="G1951" s="1">
        <v>0.59030000000000005</v>
      </c>
      <c r="H1951">
        <v>9</v>
      </c>
      <c r="I1951">
        <v>3621</v>
      </c>
    </row>
    <row r="1952" spans="1:9" x14ac:dyDescent="0.35">
      <c r="A1952" t="s">
        <v>9</v>
      </c>
      <c r="B1952" t="s">
        <v>1912</v>
      </c>
      <c r="C1952" t="s">
        <v>1926</v>
      </c>
      <c r="D1952" t="str">
        <f>"260206"</f>
        <v>260206</v>
      </c>
      <c r="E1952">
        <v>9638</v>
      </c>
      <c r="F1952">
        <v>5251</v>
      </c>
      <c r="G1952" s="1">
        <v>0.54479999999999995</v>
      </c>
      <c r="H1952">
        <v>17</v>
      </c>
      <c r="I1952">
        <v>9441</v>
      </c>
    </row>
    <row r="1953" spans="1:9" x14ac:dyDescent="0.35">
      <c r="A1953" t="s">
        <v>9</v>
      </c>
      <c r="B1953" t="s">
        <v>1912</v>
      </c>
      <c r="C1953" t="s">
        <v>1927</v>
      </c>
      <c r="D1953" t="str">
        <f>"260207"</f>
        <v>260207</v>
      </c>
      <c r="E1953">
        <v>3328</v>
      </c>
      <c r="F1953">
        <v>1706</v>
      </c>
      <c r="G1953" s="1">
        <v>0.51259999999999994</v>
      </c>
      <c r="H1953">
        <v>4</v>
      </c>
      <c r="I1953">
        <v>3296</v>
      </c>
    </row>
    <row r="1954" spans="1:9" x14ac:dyDescent="0.35">
      <c r="A1954" t="s">
        <v>9</v>
      </c>
      <c r="B1954" t="s">
        <v>1912</v>
      </c>
      <c r="C1954" t="s">
        <v>1928</v>
      </c>
      <c r="D1954" t="str">
        <f>"260208"</f>
        <v>260208</v>
      </c>
      <c r="E1954">
        <v>6561</v>
      </c>
      <c r="F1954">
        <v>3605</v>
      </c>
      <c r="G1954" s="1">
        <v>0.54949999999999999</v>
      </c>
      <c r="H1954">
        <v>8</v>
      </c>
      <c r="I1954">
        <v>6521</v>
      </c>
    </row>
    <row r="1955" spans="1:9" x14ac:dyDescent="0.35">
      <c r="A1955" t="s">
        <v>9</v>
      </c>
      <c r="B1955" t="s">
        <v>1912</v>
      </c>
      <c r="C1955" t="s">
        <v>1929</v>
      </c>
      <c r="D1955" t="str">
        <f>"260209"</f>
        <v>260209</v>
      </c>
      <c r="E1955">
        <v>5568</v>
      </c>
      <c r="F1955">
        <v>2989</v>
      </c>
      <c r="G1955" s="1">
        <v>0.53680000000000005</v>
      </c>
      <c r="H1955">
        <v>8</v>
      </c>
      <c r="I1955">
        <v>5436</v>
      </c>
    </row>
    <row r="1956" spans="1:9" x14ac:dyDescent="0.35">
      <c r="A1956" t="s">
        <v>9</v>
      </c>
      <c r="B1956" t="s">
        <v>1912</v>
      </c>
      <c r="C1956" t="s">
        <v>1930</v>
      </c>
      <c r="D1956" t="str">
        <f>"260301"</f>
        <v>260301</v>
      </c>
      <c r="E1956">
        <v>3129</v>
      </c>
      <c r="F1956">
        <v>1422</v>
      </c>
      <c r="G1956" s="1">
        <v>0.45450000000000002</v>
      </c>
      <c r="H1956">
        <v>2</v>
      </c>
      <c r="I1956">
        <v>3096</v>
      </c>
    </row>
    <row r="1957" spans="1:9" x14ac:dyDescent="0.35">
      <c r="A1957" t="s">
        <v>9</v>
      </c>
      <c r="B1957" t="s">
        <v>1912</v>
      </c>
      <c r="C1957" t="s">
        <v>691</v>
      </c>
      <c r="D1957" t="str">
        <f>"260302"</f>
        <v>260302</v>
      </c>
      <c r="E1957">
        <v>3020</v>
      </c>
      <c r="F1957">
        <v>1548</v>
      </c>
      <c r="G1957" s="1">
        <v>0.51259999999999994</v>
      </c>
      <c r="H1957">
        <v>4</v>
      </c>
      <c r="I1957">
        <v>3008</v>
      </c>
    </row>
    <row r="1958" spans="1:9" x14ac:dyDescent="0.35">
      <c r="A1958" t="s">
        <v>9</v>
      </c>
      <c r="B1958" t="s">
        <v>1912</v>
      </c>
      <c r="C1958" t="s">
        <v>1931</v>
      </c>
      <c r="D1958" t="str">
        <f>"260303"</f>
        <v>260303</v>
      </c>
      <c r="E1958">
        <v>12722</v>
      </c>
      <c r="F1958">
        <v>6311</v>
      </c>
      <c r="G1958" s="1">
        <v>0.49609999999999999</v>
      </c>
      <c r="H1958">
        <v>15</v>
      </c>
      <c r="I1958">
        <v>12489</v>
      </c>
    </row>
    <row r="1959" spans="1:9" x14ac:dyDescent="0.35">
      <c r="A1959" t="s">
        <v>9</v>
      </c>
      <c r="B1959" t="s">
        <v>1912</v>
      </c>
      <c r="C1959" t="s">
        <v>1932</v>
      </c>
      <c r="D1959" t="str">
        <f>"260304"</f>
        <v>260304</v>
      </c>
      <c r="E1959">
        <v>2672</v>
      </c>
      <c r="F1959">
        <v>1391</v>
      </c>
      <c r="G1959" s="1">
        <v>0.52059999999999995</v>
      </c>
      <c r="H1959">
        <v>5</v>
      </c>
      <c r="I1959">
        <v>2634</v>
      </c>
    </row>
    <row r="1960" spans="1:9" x14ac:dyDescent="0.35">
      <c r="A1960" t="s">
        <v>9</v>
      </c>
      <c r="B1960" t="s">
        <v>1912</v>
      </c>
      <c r="C1960" t="s">
        <v>1933</v>
      </c>
      <c r="D1960" t="str">
        <f>"260305"</f>
        <v>260305</v>
      </c>
      <c r="E1960">
        <v>5005</v>
      </c>
      <c r="F1960">
        <v>2593</v>
      </c>
      <c r="G1960" s="1">
        <v>0.5181</v>
      </c>
      <c r="H1960">
        <v>6</v>
      </c>
      <c r="I1960">
        <v>4986</v>
      </c>
    </row>
    <row r="1961" spans="1:9" x14ac:dyDescent="0.35">
      <c r="A1961" t="s">
        <v>9</v>
      </c>
      <c r="B1961" t="s">
        <v>1912</v>
      </c>
      <c r="C1961" t="s">
        <v>1934</v>
      </c>
      <c r="D1961" t="str">
        <f>"260401"</f>
        <v>260401</v>
      </c>
      <c r="E1961">
        <v>7828</v>
      </c>
      <c r="F1961">
        <v>4148</v>
      </c>
      <c r="G1961" s="1">
        <v>0.52990000000000004</v>
      </c>
      <c r="H1961">
        <v>11</v>
      </c>
      <c r="I1961">
        <v>7800</v>
      </c>
    </row>
    <row r="1962" spans="1:9" x14ac:dyDescent="0.35">
      <c r="A1962" t="s">
        <v>9</v>
      </c>
      <c r="B1962" t="s">
        <v>1912</v>
      </c>
      <c r="C1962" t="s">
        <v>1935</v>
      </c>
      <c r="D1962" t="str">
        <f>"260402"</f>
        <v>260402</v>
      </c>
      <c r="E1962">
        <v>8799</v>
      </c>
      <c r="F1962">
        <v>4608</v>
      </c>
      <c r="G1962" s="1">
        <v>0.52370000000000005</v>
      </c>
      <c r="H1962">
        <v>15</v>
      </c>
      <c r="I1962">
        <v>8672</v>
      </c>
    </row>
    <row r="1963" spans="1:9" x14ac:dyDescent="0.35">
      <c r="A1963" t="s">
        <v>9</v>
      </c>
      <c r="B1963" t="s">
        <v>1912</v>
      </c>
      <c r="C1963" t="s">
        <v>1936</v>
      </c>
      <c r="D1963" t="str">
        <f>"260403"</f>
        <v>260403</v>
      </c>
      <c r="E1963">
        <v>11512</v>
      </c>
      <c r="F1963">
        <v>6603</v>
      </c>
      <c r="G1963" s="1">
        <v>0.5736</v>
      </c>
      <c r="H1963">
        <v>16</v>
      </c>
      <c r="I1963">
        <v>11418</v>
      </c>
    </row>
    <row r="1964" spans="1:9" x14ac:dyDescent="0.35">
      <c r="A1964" t="s">
        <v>9</v>
      </c>
      <c r="B1964" t="s">
        <v>1912</v>
      </c>
      <c r="C1964" t="s">
        <v>1471</v>
      </c>
      <c r="D1964" t="str">
        <f>"260404"</f>
        <v>260404</v>
      </c>
      <c r="E1964">
        <v>8391</v>
      </c>
      <c r="F1964">
        <v>4633</v>
      </c>
      <c r="G1964" s="1">
        <v>0.55210000000000004</v>
      </c>
      <c r="H1964">
        <v>16</v>
      </c>
      <c r="I1964">
        <v>8337</v>
      </c>
    </row>
    <row r="1965" spans="1:9" x14ac:dyDescent="0.35">
      <c r="A1965" t="s">
        <v>9</v>
      </c>
      <c r="B1965" t="s">
        <v>1912</v>
      </c>
      <c r="C1965" t="s">
        <v>1937</v>
      </c>
      <c r="D1965" t="str">
        <f>"260405"</f>
        <v>260405</v>
      </c>
      <c r="E1965">
        <v>12462</v>
      </c>
      <c r="F1965">
        <v>6971</v>
      </c>
      <c r="G1965" s="1">
        <v>0.55940000000000001</v>
      </c>
      <c r="H1965">
        <v>19</v>
      </c>
      <c r="I1965">
        <v>12376</v>
      </c>
    </row>
    <row r="1966" spans="1:9" x14ac:dyDescent="0.35">
      <c r="A1966" t="s">
        <v>9</v>
      </c>
      <c r="B1966" t="s">
        <v>1912</v>
      </c>
      <c r="C1966" t="s">
        <v>1938</v>
      </c>
      <c r="D1966" t="str">
        <f>"260406"</f>
        <v>260406</v>
      </c>
      <c r="E1966">
        <v>11325</v>
      </c>
      <c r="F1966">
        <v>6171</v>
      </c>
      <c r="G1966" s="1">
        <v>0.54490000000000005</v>
      </c>
      <c r="H1966">
        <v>8</v>
      </c>
      <c r="I1966">
        <v>11244</v>
      </c>
    </row>
    <row r="1967" spans="1:9" x14ac:dyDescent="0.35">
      <c r="A1967" t="s">
        <v>9</v>
      </c>
      <c r="B1967" t="s">
        <v>1912</v>
      </c>
      <c r="C1967" t="s">
        <v>582</v>
      </c>
      <c r="D1967" t="str">
        <f>"260407"</f>
        <v>260407</v>
      </c>
      <c r="E1967">
        <v>5167</v>
      </c>
      <c r="F1967">
        <v>2758</v>
      </c>
      <c r="G1967" s="1">
        <v>0.53380000000000005</v>
      </c>
      <c r="H1967">
        <v>10</v>
      </c>
      <c r="I1967">
        <v>5135</v>
      </c>
    </row>
    <row r="1968" spans="1:9" x14ac:dyDescent="0.35">
      <c r="A1968" t="s">
        <v>9</v>
      </c>
      <c r="B1968" t="s">
        <v>1912</v>
      </c>
      <c r="C1968" t="s">
        <v>1939</v>
      </c>
      <c r="D1968" t="str">
        <f>"260408"</f>
        <v>260408</v>
      </c>
      <c r="E1968">
        <v>6890</v>
      </c>
      <c r="F1968">
        <v>4104</v>
      </c>
      <c r="G1968" s="1">
        <v>0.59560000000000002</v>
      </c>
      <c r="H1968">
        <v>10</v>
      </c>
      <c r="I1968">
        <v>6871</v>
      </c>
    </row>
    <row r="1969" spans="1:9" x14ac:dyDescent="0.35">
      <c r="A1969" t="s">
        <v>9</v>
      </c>
      <c r="B1969" t="s">
        <v>1912</v>
      </c>
      <c r="C1969" t="s">
        <v>1940</v>
      </c>
      <c r="D1969" t="str">
        <f>"260409"</f>
        <v>260409</v>
      </c>
      <c r="E1969">
        <v>8793</v>
      </c>
      <c r="F1969">
        <v>5304</v>
      </c>
      <c r="G1969" s="1">
        <v>0.60319999999999996</v>
      </c>
      <c r="H1969">
        <v>12</v>
      </c>
      <c r="I1969">
        <v>8723</v>
      </c>
    </row>
    <row r="1970" spans="1:9" x14ac:dyDescent="0.35">
      <c r="A1970" t="s">
        <v>9</v>
      </c>
      <c r="B1970" t="s">
        <v>1912</v>
      </c>
      <c r="C1970" t="s">
        <v>1941</v>
      </c>
      <c r="D1970" t="str">
        <f>"260410"</f>
        <v>260410</v>
      </c>
      <c r="E1970">
        <v>9193</v>
      </c>
      <c r="F1970">
        <v>5514</v>
      </c>
      <c r="G1970" s="1">
        <v>0.5998</v>
      </c>
      <c r="H1970">
        <v>9</v>
      </c>
      <c r="I1970">
        <v>9141</v>
      </c>
    </row>
    <row r="1971" spans="1:9" x14ac:dyDescent="0.35">
      <c r="A1971" t="s">
        <v>9</v>
      </c>
      <c r="B1971" t="s">
        <v>1912</v>
      </c>
      <c r="C1971" t="s">
        <v>1942</v>
      </c>
      <c r="D1971" t="str">
        <f>"260411"</f>
        <v>260411</v>
      </c>
      <c r="E1971">
        <v>7146</v>
      </c>
      <c r="F1971">
        <v>3869</v>
      </c>
      <c r="G1971" s="1">
        <v>0.54139999999999999</v>
      </c>
      <c r="H1971">
        <v>7</v>
      </c>
      <c r="I1971">
        <v>7124</v>
      </c>
    </row>
    <row r="1972" spans="1:9" x14ac:dyDescent="0.35">
      <c r="A1972" t="s">
        <v>9</v>
      </c>
      <c r="B1972" t="s">
        <v>1912</v>
      </c>
      <c r="C1972" t="s">
        <v>1943</v>
      </c>
      <c r="D1972" t="str">
        <f>"260412"</f>
        <v>260412</v>
      </c>
      <c r="E1972">
        <v>12909</v>
      </c>
      <c r="F1972">
        <v>7415</v>
      </c>
      <c r="G1972" s="1">
        <v>0.57440000000000002</v>
      </c>
      <c r="H1972">
        <v>14</v>
      </c>
      <c r="I1972">
        <v>12857</v>
      </c>
    </row>
    <row r="1973" spans="1:9" x14ac:dyDescent="0.35">
      <c r="A1973" t="s">
        <v>9</v>
      </c>
      <c r="B1973" t="s">
        <v>1912</v>
      </c>
      <c r="C1973" t="s">
        <v>1944</v>
      </c>
      <c r="D1973" t="str">
        <f>"260413"</f>
        <v>260413</v>
      </c>
      <c r="E1973">
        <v>7336</v>
      </c>
      <c r="F1973">
        <v>3827</v>
      </c>
      <c r="G1973" s="1">
        <v>0.52170000000000005</v>
      </c>
      <c r="H1973">
        <v>10</v>
      </c>
      <c r="I1973">
        <v>7277</v>
      </c>
    </row>
    <row r="1974" spans="1:9" x14ac:dyDescent="0.35">
      <c r="A1974" t="s">
        <v>9</v>
      </c>
      <c r="B1974" t="s">
        <v>1912</v>
      </c>
      <c r="C1974" t="s">
        <v>1945</v>
      </c>
      <c r="D1974" t="str">
        <f>"260414"</f>
        <v>260414</v>
      </c>
      <c r="E1974">
        <v>12772</v>
      </c>
      <c r="F1974">
        <v>7093</v>
      </c>
      <c r="G1974" s="1">
        <v>0.5554</v>
      </c>
      <c r="H1974">
        <v>16</v>
      </c>
      <c r="I1974">
        <v>12707</v>
      </c>
    </row>
    <row r="1975" spans="1:9" x14ac:dyDescent="0.35">
      <c r="A1975" t="s">
        <v>9</v>
      </c>
      <c r="B1975" t="s">
        <v>1912</v>
      </c>
      <c r="C1975" t="s">
        <v>1946</v>
      </c>
      <c r="D1975" t="str">
        <f>"260415"</f>
        <v>260415</v>
      </c>
      <c r="E1975">
        <v>3656</v>
      </c>
      <c r="F1975">
        <v>2044</v>
      </c>
      <c r="G1975" s="1">
        <v>0.55910000000000004</v>
      </c>
      <c r="H1975">
        <v>10</v>
      </c>
      <c r="I1975">
        <v>3634</v>
      </c>
    </row>
    <row r="1976" spans="1:9" x14ac:dyDescent="0.35">
      <c r="A1976" t="s">
        <v>9</v>
      </c>
      <c r="B1976" t="s">
        <v>1912</v>
      </c>
      <c r="C1976" t="s">
        <v>1947</v>
      </c>
      <c r="D1976" t="str">
        <f>"260416"</f>
        <v>260416</v>
      </c>
      <c r="E1976">
        <v>4382</v>
      </c>
      <c r="F1976">
        <v>2262</v>
      </c>
      <c r="G1976" s="1">
        <v>0.51619999999999999</v>
      </c>
      <c r="H1976">
        <v>10</v>
      </c>
      <c r="I1976">
        <v>4336</v>
      </c>
    </row>
    <row r="1977" spans="1:9" x14ac:dyDescent="0.35">
      <c r="A1977" t="s">
        <v>9</v>
      </c>
      <c r="B1977" t="s">
        <v>1912</v>
      </c>
      <c r="C1977" t="s">
        <v>1948</v>
      </c>
      <c r="D1977" t="str">
        <f>"260417"</f>
        <v>260417</v>
      </c>
      <c r="E1977">
        <v>5957</v>
      </c>
      <c r="F1977">
        <v>3440</v>
      </c>
      <c r="G1977" s="1">
        <v>0.57750000000000001</v>
      </c>
      <c r="H1977">
        <v>8</v>
      </c>
      <c r="I1977">
        <v>5928</v>
      </c>
    </row>
    <row r="1978" spans="1:9" x14ac:dyDescent="0.35">
      <c r="A1978" t="s">
        <v>9</v>
      </c>
      <c r="B1978" t="s">
        <v>1912</v>
      </c>
      <c r="C1978" t="s">
        <v>1949</v>
      </c>
      <c r="D1978" t="str">
        <f>"260418"</f>
        <v>260418</v>
      </c>
      <c r="E1978">
        <v>8482</v>
      </c>
      <c r="F1978">
        <v>4561</v>
      </c>
      <c r="G1978" s="1">
        <v>0.53769999999999996</v>
      </c>
      <c r="H1978">
        <v>10</v>
      </c>
      <c r="I1978">
        <v>8459</v>
      </c>
    </row>
    <row r="1979" spans="1:9" x14ac:dyDescent="0.35">
      <c r="A1979" t="s">
        <v>9</v>
      </c>
      <c r="B1979" t="s">
        <v>1912</v>
      </c>
      <c r="C1979" t="s">
        <v>1950</v>
      </c>
      <c r="D1979" t="str">
        <f>"260419"</f>
        <v>260419</v>
      </c>
      <c r="E1979">
        <v>9761</v>
      </c>
      <c r="F1979">
        <v>5752</v>
      </c>
      <c r="G1979" s="1">
        <v>0.58930000000000005</v>
      </c>
      <c r="H1979">
        <v>12</v>
      </c>
      <c r="I1979">
        <v>9707</v>
      </c>
    </row>
    <row r="1980" spans="1:9" x14ac:dyDescent="0.35">
      <c r="A1980" t="s">
        <v>9</v>
      </c>
      <c r="B1980" t="s">
        <v>1912</v>
      </c>
      <c r="C1980" t="s">
        <v>1951</v>
      </c>
      <c r="D1980" t="str">
        <f>"260501"</f>
        <v>260501</v>
      </c>
      <c r="E1980">
        <v>3459</v>
      </c>
      <c r="F1980">
        <v>1912</v>
      </c>
      <c r="G1980" s="1">
        <v>0.55279999999999996</v>
      </c>
      <c r="H1980">
        <v>3</v>
      </c>
      <c r="I1980">
        <v>3424</v>
      </c>
    </row>
    <row r="1981" spans="1:9" x14ac:dyDescent="0.35">
      <c r="A1981" t="s">
        <v>9</v>
      </c>
      <c r="B1981" t="s">
        <v>1912</v>
      </c>
      <c r="C1981" t="s">
        <v>1952</v>
      </c>
      <c r="D1981" t="str">
        <f>"260502"</f>
        <v>260502</v>
      </c>
      <c r="E1981">
        <v>3649</v>
      </c>
      <c r="F1981">
        <v>2039</v>
      </c>
      <c r="G1981" s="1">
        <v>0.55879999999999996</v>
      </c>
      <c r="H1981">
        <v>5</v>
      </c>
      <c r="I1981">
        <v>3609</v>
      </c>
    </row>
    <row r="1982" spans="1:9" x14ac:dyDescent="0.35">
      <c r="A1982" t="s">
        <v>9</v>
      </c>
      <c r="B1982" t="s">
        <v>1912</v>
      </c>
      <c r="C1982" t="s">
        <v>1953</v>
      </c>
      <c r="D1982" t="str">
        <f>"260503"</f>
        <v>260503</v>
      </c>
      <c r="E1982">
        <v>26532</v>
      </c>
      <c r="F1982">
        <v>15749</v>
      </c>
      <c r="G1982" s="1">
        <v>0.59360000000000002</v>
      </c>
      <c r="H1982">
        <v>25</v>
      </c>
      <c r="I1982">
        <v>26228</v>
      </c>
    </row>
    <row r="1983" spans="1:9" x14ac:dyDescent="0.35">
      <c r="A1983" t="s">
        <v>9</v>
      </c>
      <c r="B1983" t="s">
        <v>1912</v>
      </c>
      <c r="C1983" t="s">
        <v>1954</v>
      </c>
      <c r="D1983" t="str">
        <f>"260504"</f>
        <v>260504</v>
      </c>
      <c r="E1983">
        <v>6686</v>
      </c>
      <c r="F1983">
        <v>3652</v>
      </c>
      <c r="G1983" s="1">
        <v>0.54620000000000002</v>
      </c>
      <c r="H1983">
        <v>9</v>
      </c>
      <c r="I1983">
        <v>6666</v>
      </c>
    </row>
    <row r="1984" spans="1:9" x14ac:dyDescent="0.35">
      <c r="A1984" t="s">
        <v>9</v>
      </c>
      <c r="B1984" t="s">
        <v>1912</v>
      </c>
      <c r="C1984" t="s">
        <v>1955</v>
      </c>
      <c r="D1984" t="str">
        <f>"260505"</f>
        <v>260505</v>
      </c>
      <c r="E1984">
        <v>2453</v>
      </c>
      <c r="F1984">
        <v>1496</v>
      </c>
      <c r="G1984" s="1">
        <v>0.6099</v>
      </c>
      <c r="H1984">
        <v>6</v>
      </c>
      <c r="I1984">
        <v>2414</v>
      </c>
    </row>
    <row r="1985" spans="1:9" x14ac:dyDescent="0.35">
      <c r="A1985" t="s">
        <v>9</v>
      </c>
      <c r="B1985" t="s">
        <v>1912</v>
      </c>
      <c r="C1985" t="s">
        <v>1956</v>
      </c>
      <c r="D1985" t="str">
        <f>"260506"</f>
        <v>260506</v>
      </c>
      <c r="E1985">
        <v>2422</v>
      </c>
      <c r="F1985">
        <v>1430</v>
      </c>
      <c r="G1985" s="1">
        <v>0.59040000000000004</v>
      </c>
      <c r="H1985">
        <v>6</v>
      </c>
      <c r="I1985">
        <v>2412</v>
      </c>
    </row>
    <row r="1986" spans="1:9" x14ac:dyDescent="0.35">
      <c r="A1986" t="s">
        <v>9</v>
      </c>
      <c r="B1986" t="s">
        <v>1912</v>
      </c>
      <c r="C1986" t="s">
        <v>1957</v>
      </c>
      <c r="D1986" t="str">
        <f>"260507"</f>
        <v>260507</v>
      </c>
      <c r="E1986">
        <v>2940</v>
      </c>
      <c r="F1986">
        <v>1784</v>
      </c>
      <c r="G1986" s="1">
        <v>0.60680000000000001</v>
      </c>
      <c r="H1986">
        <v>7</v>
      </c>
      <c r="I1986">
        <v>2921</v>
      </c>
    </row>
    <row r="1987" spans="1:9" x14ac:dyDescent="0.35">
      <c r="A1987" t="s">
        <v>9</v>
      </c>
      <c r="B1987" t="s">
        <v>1912</v>
      </c>
      <c r="C1987" t="s">
        <v>1958</v>
      </c>
      <c r="D1987" t="str">
        <f>"260508"</f>
        <v>260508</v>
      </c>
      <c r="E1987">
        <v>12804</v>
      </c>
      <c r="F1987">
        <v>6852</v>
      </c>
      <c r="G1987" s="1">
        <v>0.53510000000000002</v>
      </c>
      <c r="H1987">
        <v>20</v>
      </c>
      <c r="I1987">
        <v>12725</v>
      </c>
    </row>
    <row r="1988" spans="1:9" x14ac:dyDescent="0.35">
      <c r="A1988" t="s">
        <v>9</v>
      </c>
      <c r="B1988" t="s">
        <v>1912</v>
      </c>
      <c r="C1988" t="s">
        <v>1959</v>
      </c>
      <c r="D1988" t="str">
        <f>"260601"</f>
        <v>260601</v>
      </c>
      <c r="E1988">
        <v>3731</v>
      </c>
      <c r="F1988">
        <v>1986</v>
      </c>
      <c r="G1988" s="1">
        <v>0.5323</v>
      </c>
      <c r="H1988">
        <v>4</v>
      </c>
      <c r="I1988">
        <v>3720</v>
      </c>
    </row>
    <row r="1989" spans="1:9" x14ac:dyDescent="0.35">
      <c r="A1989" t="s">
        <v>9</v>
      </c>
      <c r="B1989" t="s">
        <v>1912</v>
      </c>
      <c r="C1989" t="s">
        <v>1960</v>
      </c>
      <c r="D1989" t="str">
        <f>"260602"</f>
        <v>260602</v>
      </c>
      <c r="E1989">
        <v>5120</v>
      </c>
      <c r="F1989">
        <v>2834</v>
      </c>
      <c r="G1989" s="1">
        <v>0.55349999999999999</v>
      </c>
      <c r="H1989">
        <v>11</v>
      </c>
      <c r="I1989">
        <v>5090</v>
      </c>
    </row>
    <row r="1990" spans="1:9" x14ac:dyDescent="0.35">
      <c r="A1990" t="s">
        <v>9</v>
      </c>
      <c r="B1990" t="s">
        <v>1912</v>
      </c>
      <c r="C1990" t="s">
        <v>1961</v>
      </c>
      <c r="D1990" t="str">
        <f>"260603"</f>
        <v>260603</v>
      </c>
      <c r="E1990">
        <v>3999</v>
      </c>
      <c r="F1990">
        <v>2051</v>
      </c>
      <c r="G1990" s="1">
        <v>0.51290000000000002</v>
      </c>
      <c r="H1990">
        <v>12</v>
      </c>
      <c r="I1990">
        <v>3981</v>
      </c>
    </row>
    <row r="1991" spans="1:9" x14ac:dyDescent="0.35">
      <c r="A1991" t="s">
        <v>9</v>
      </c>
      <c r="B1991" t="s">
        <v>1912</v>
      </c>
      <c r="C1991" t="s">
        <v>1806</v>
      </c>
      <c r="D1991" t="str">
        <f>"260604"</f>
        <v>260604</v>
      </c>
      <c r="E1991">
        <v>8617</v>
      </c>
      <c r="F1991">
        <v>4643</v>
      </c>
      <c r="G1991" s="1">
        <v>0.53879999999999995</v>
      </c>
      <c r="H1991">
        <v>11</v>
      </c>
      <c r="I1991">
        <v>8560</v>
      </c>
    </row>
    <row r="1992" spans="1:9" x14ac:dyDescent="0.35">
      <c r="A1992" t="s">
        <v>9</v>
      </c>
      <c r="B1992" t="s">
        <v>1912</v>
      </c>
      <c r="C1992" t="s">
        <v>1962</v>
      </c>
      <c r="D1992" t="str">
        <f>"260605"</f>
        <v>260605</v>
      </c>
      <c r="E1992">
        <v>7963</v>
      </c>
      <c r="F1992">
        <v>4108</v>
      </c>
      <c r="G1992" s="1">
        <v>0.51590000000000003</v>
      </c>
      <c r="H1992">
        <v>18</v>
      </c>
      <c r="I1992">
        <v>7902</v>
      </c>
    </row>
    <row r="1993" spans="1:9" x14ac:dyDescent="0.35">
      <c r="A1993" t="s">
        <v>9</v>
      </c>
      <c r="B1993" t="s">
        <v>1912</v>
      </c>
      <c r="C1993" t="s">
        <v>1963</v>
      </c>
      <c r="D1993" t="str">
        <f>"260606"</f>
        <v>260606</v>
      </c>
      <c r="E1993">
        <v>3069</v>
      </c>
      <c r="F1993">
        <v>1616</v>
      </c>
      <c r="G1993" s="1">
        <v>0.52659999999999996</v>
      </c>
      <c r="H1993">
        <v>6</v>
      </c>
      <c r="I1993">
        <v>3059</v>
      </c>
    </row>
    <row r="1994" spans="1:9" x14ac:dyDescent="0.35">
      <c r="A1994" t="s">
        <v>9</v>
      </c>
      <c r="B1994" t="s">
        <v>1912</v>
      </c>
      <c r="C1994" t="s">
        <v>1964</v>
      </c>
      <c r="D1994" t="str">
        <f>"260607"</f>
        <v>260607</v>
      </c>
      <c r="E1994">
        <v>3947</v>
      </c>
      <c r="F1994">
        <v>2068</v>
      </c>
      <c r="G1994" s="1">
        <v>0.52390000000000003</v>
      </c>
      <c r="H1994">
        <v>6</v>
      </c>
      <c r="I1994">
        <v>3938</v>
      </c>
    </row>
    <row r="1995" spans="1:9" x14ac:dyDescent="0.35">
      <c r="A1995" t="s">
        <v>9</v>
      </c>
      <c r="B1995" t="s">
        <v>1912</v>
      </c>
      <c r="C1995" t="s">
        <v>1965</v>
      </c>
      <c r="D1995" t="str">
        <f>"260608"</f>
        <v>260608</v>
      </c>
      <c r="E1995">
        <v>3051</v>
      </c>
      <c r="F1995">
        <v>1633</v>
      </c>
      <c r="G1995" s="1">
        <v>0.53520000000000001</v>
      </c>
      <c r="H1995">
        <v>6</v>
      </c>
      <c r="I1995">
        <v>3045</v>
      </c>
    </row>
    <row r="1996" spans="1:9" x14ac:dyDescent="0.35">
      <c r="A1996" t="s">
        <v>9</v>
      </c>
      <c r="B1996" t="s">
        <v>1912</v>
      </c>
      <c r="C1996" t="s">
        <v>1966</v>
      </c>
      <c r="D1996" t="str">
        <f>"260701"</f>
        <v>260701</v>
      </c>
      <c r="E1996">
        <v>48471</v>
      </c>
      <c r="F1996">
        <v>26040</v>
      </c>
      <c r="G1996" s="1">
        <v>0.53720000000000001</v>
      </c>
      <c r="H1996">
        <v>35</v>
      </c>
      <c r="I1996">
        <v>48237</v>
      </c>
    </row>
    <row r="1997" spans="1:9" x14ac:dyDescent="0.35">
      <c r="A1997" t="s">
        <v>9</v>
      </c>
      <c r="B1997" t="s">
        <v>1912</v>
      </c>
      <c r="C1997" t="s">
        <v>1967</v>
      </c>
      <c r="D1997" t="str">
        <f>"260702"</f>
        <v>260702</v>
      </c>
      <c r="E1997">
        <v>3218</v>
      </c>
      <c r="F1997">
        <v>1880</v>
      </c>
      <c r="G1997" s="1">
        <v>0.58420000000000005</v>
      </c>
      <c r="H1997">
        <v>8</v>
      </c>
      <c r="I1997">
        <v>3110</v>
      </c>
    </row>
    <row r="1998" spans="1:9" x14ac:dyDescent="0.35">
      <c r="A1998" t="s">
        <v>9</v>
      </c>
      <c r="B1998" t="s">
        <v>1912</v>
      </c>
      <c r="C1998" t="s">
        <v>1968</v>
      </c>
      <c r="D1998" t="str">
        <f>"260703"</f>
        <v>260703</v>
      </c>
      <c r="E1998">
        <v>10143</v>
      </c>
      <c r="F1998">
        <v>5776</v>
      </c>
      <c r="G1998" s="1">
        <v>0.56950000000000001</v>
      </c>
      <c r="H1998">
        <v>16</v>
      </c>
      <c r="I1998">
        <v>10099</v>
      </c>
    </row>
    <row r="1999" spans="1:9" x14ac:dyDescent="0.35">
      <c r="A1999" t="s">
        <v>9</v>
      </c>
      <c r="B1999" t="s">
        <v>1912</v>
      </c>
      <c r="C1999" t="s">
        <v>1969</v>
      </c>
      <c r="D1999" t="str">
        <f>"260704"</f>
        <v>260704</v>
      </c>
      <c r="E1999">
        <v>5548</v>
      </c>
      <c r="F1999">
        <v>2905</v>
      </c>
      <c r="G1999" s="1">
        <v>0.52359999999999995</v>
      </c>
      <c r="H1999">
        <v>9</v>
      </c>
      <c r="I1999">
        <v>5521</v>
      </c>
    </row>
    <row r="2000" spans="1:9" x14ac:dyDescent="0.35">
      <c r="A2000" t="s">
        <v>9</v>
      </c>
      <c r="B2000" t="s">
        <v>1912</v>
      </c>
      <c r="C2000" t="s">
        <v>1970</v>
      </c>
      <c r="D2000" t="str">
        <f>"260705"</f>
        <v>260705</v>
      </c>
      <c r="E2000">
        <v>7463</v>
      </c>
      <c r="F2000">
        <v>4063</v>
      </c>
      <c r="G2000" s="1">
        <v>0.5444</v>
      </c>
      <c r="H2000">
        <v>14</v>
      </c>
      <c r="I2000">
        <v>7444</v>
      </c>
    </row>
    <row r="2001" spans="1:9" x14ac:dyDescent="0.35">
      <c r="A2001" t="s">
        <v>9</v>
      </c>
      <c r="B2001" t="s">
        <v>1912</v>
      </c>
      <c r="C2001" t="s">
        <v>1971</v>
      </c>
      <c r="D2001" t="str">
        <f>"260706"</f>
        <v>260706</v>
      </c>
      <c r="E2001">
        <v>5129</v>
      </c>
      <c r="F2001">
        <v>2617</v>
      </c>
      <c r="G2001" s="1">
        <v>0.51019999999999999</v>
      </c>
      <c r="H2001">
        <v>10</v>
      </c>
      <c r="I2001">
        <v>5102</v>
      </c>
    </row>
    <row r="2002" spans="1:9" x14ac:dyDescent="0.35">
      <c r="A2002" t="s">
        <v>9</v>
      </c>
      <c r="B2002" t="s">
        <v>1912</v>
      </c>
      <c r="C2002" t="s">
        <v>1972</v>
      </c>
      <c r="D2002" t="str">
        <f>"260801"</f>
        <v>260801</v>
      </c>
      <c r="E2002">
        <v>3936</v>
      </c>
      <c r="F2002">
        <v>2051</v>
      </c>
      <c r="G2002" s="1">
        <v>0.52110000000000001</v>
      </c>
      <c r="H2002">
        <v>6</v>
      </c>
      <c r="I2002">
        <v>3899</v>
      </c>
    </row>
    <row r="2003" spans="1:9" x14ac:dyDescent="0.35">
      <c r="A2003" t="s">
        <v>9</v>
      </c>
      <c r="B2003" t="s">
        <v>1912</v>
      </c>
      <c r="C2003" t="s">
        <v>1973</v>
      </c>
      <c r="D2003" t="str">
        <f>"260802"</f>
        <v>260802</v>
      </c>
      <c r="E2003">
        <v>3506</v>
      </c>
      <c r="F2003">
        <v>2025</v>
      </c>
      <c r="G2003" s="1">
        <v>0.5776</v>
      </c>
      <c r="H2003">
        <v>6</v>
      </c>
      <c r="I2003">
        <v>3503</v>
      </c>
    </row>
    <row r="2004" spans="1:9" x14ac:dyDescent="0.35">
      <c r="A2004" t="s">
        <v>9</v>
      </c>
      <c r="B2004" t="s">
        <v>1912</v>
      </c>
      <c r="C2004" t="s">
        <v>1974</v>
      </c>
      <c r="D2004" t="str">
        <f>"260803"</f>
        <v>260803</v>
      </c>
      <c r="E2004">
        <v>3661</v>
      </c>
      <c r="F2004">
        <v>1946</v>
      </c>
      <c r="G2004" s="1">
        <v>0.53149999999999997</v>
      </c>
      <c r="H2004">
        <v>6</v>
      </c>
      <c r="I2004">
        <v>3640</v>
      </c>
    </row>
    <row r="2005" spans="1:9" x14ac:dyDescent="0.35">
      <c r="A2005" t="s">
        <v>9</v>
      </c>
      <c r="B2005" t="s">
        <v>1912</v>
      </c>
      <c r="C2005" t="s">
        <v>1975</v>
      </c>
      <c r="D2005" t="str">
        <f>"260804"</f>
        <v>260804</v>
      </c>
      <c r="E2005">
        <v>15358</v>
      </c>
      <c r="F2005">
        <v>7617</v>
      </c>
      <c r="G2005" s="1">
        <v>0.496</v>
      </c>
      <c r="H2005">
        <v>16</v>
      </c>
      <c r="I2005">
        <v>15303</v>
      </c>
    </row>
    <row r="2006" spans="1:9" x14ac:dyDescent="0.35">
      <c r="A2006" t="s">
        <v>9</v>
      </c>
      <c r="B2006" t="s">
        <v>1912</v>
      </c>
      <c r="C2006" t="s">
        <v>1976</v>
      </c>
      <c r="D2006" t="str">
        <f>"260805"</f>
        <v>260805</v>
      </c>
      <c r="E2006">
        <v>3538</v>
      </c>
      <c r="F2006">
        <v>1858</v>
      </c>
      <c r="G2006" s="1">
        <v>0.5252</v>
      </c>
      <c r="H2006">
        <v>5</v>
      </c>
      <c r="I2006">
        <v>3524</v>
      </c>
    </row>
    <row r="2007" spans="1:9" x14ac:dyDescent="0.35">
      <c r="A2007" t="s">
        <v>9</v>
      </c>
      <c r="B2007" t="s">
        <v>1912</v>
      </c>
      <c r="C2007" t="s">
        <v>1977</v>
      </c>
      <c r="D2007" t="str">
        <f>"260901"</f>
        <v>260901</v>
      </c>
      <c r="E2007">
        <v>17143</v>
      </c>
      <c r="F2007">
        <v>9353</v>
      </c>
      <c r="G2007" s="1">
        <v>0.54559999999999997</v>
      </c>
      <c r="H2007">
        <v>13</v>
      </c>
      <c r="I2007">
        <v>16891</v>
      </c>
    </row>
    <row r="2008" spans="1:9" x14ac:dyDescent="0.35">
      <c r="A2008" t="s">
        <v>9</v>
      </c>
      <c r="B2008" t="s">
        <v>1912</v>
      </c>
      <c r="C2008" t="s">
        <v>1978</v>
      </c>
      <c r="D2008" t="str">
        <f>"260902"</f>
        <v>260902</v>
      </c>
      <c r="E2008">
        <v>6658</v>
      </c>
      <c r="F2008">
        <v>3377</v>
      </c>
      <c r="G2008" s="1">
        <v>0.50719999999999998</v>
      </c>
      <c r="H2008">
        <v>14</v>
      </c>
      <c r="I2008">
        <v>6639</v>
      </c>
    </row>
    <row r="2009" spans="1:9" x14ac:dyDescent="0.35">
      <c r="A2009" t="s">
        <v>9</v>
      </c>
      <c r="B2009" t="s">
        <v>1912</v>
      </c>
      <c r="C2009" t="s">
        <v>1979</v>
      </c>
      <c r="D2009" t="str">
        <f>"260903"</f>
        <v>260903</v>
      </c>
      <c r="E2009">
        <v>6184</v>
      </c>
      <c r="F2009">
        <v>3274</v>
      </c>
      <c r="G2009" s="1">
        <v>0.52939999999999998</v>
      </c>
      <c r="H2009">
        <v>12</v>
      </c>
      <c r="I2009">
        <v>6163</v>
      </c>
    </row>
    <row r="2010" spans="1:9" x14ac:dyDescent="0.35">
      <c r="A2010" t="s">
        <v>9</v>
      </c>
      <c r="B2010" t="s">
        <v>1912</v>
      </c>
      <c r="C2010" t="s">
        <v>1980</v>
      </c>
      <c r="D2010" t="str">
        <f>"260904"</f>
        <v>260904</v>
      </c>
      <c r="E2010">
        <v>5151</v>
      </c>
      <c r="F2010">
        <v>2740</v>
      </c>
      <c r="G2010" s="1">
        <v>0.53190000000000004</v>
      </c>
      <c r="H2010">
        <v>11</v>
      </c>
      <c r="I2010">
        <v>5151</v>
      </c>
    </row>
    <row r="2011" spans="1:9" x14ac:dyDescent="0.35">
      <c r="A2011" t="s">
        <v>9</v>
      </c>
      <c r="B2011" t="s">
        <v>1912</v>
      </c>
      <c r="C2011" t="s">
        <v>1981</v>
      </c>
      <c r="D2011" t="str">
        <f>"260905"</f>
        <v>260905</v>
      </c>
      <c r="E2011">
        <v>5806</v>
      </c>
      <c r="F2011">
        <v>3071</v>
      </c>
      <c r="G2011" s="1">
        <v>0.52890000000000004</v>
      </c>
      <c r="H2011">
        <v>7</v>
      </c>
      <c r="I2011">
        <v>5794</v>
      </c>
    </row>
    <row r="2012" spans="1:9" x14ac:dyDescent="0.35">
      <c r="A2012" t="s">
        <v>9</v>
      </c>
      <c r="B2012" t="s">
        <v>1912</v>
      </c>
      <c r="C2012" t="s">
        <v>1982</v>
      </c>
      <c r="D2012" t="str">
        <f>"260906"</f>
        <v>260906</v>
      </c>
      <c r="E2012">
        <v>4974</v>
      </c>
      <c r="F2012">
        <v>2484</v>
      </c>
      <c r="G2012" s="1">
        <v>0.49940000000000001</v>
      </c>
      <c r="H2012">
        <v>6</v>
      </c>
      <c r="I2012">
        <v>4967</v>
      </c>
    </row>
    <row r="2013" spans="1:9" x14ac:dyDescent="0.35">
      <c r="A2013" t="s">
        <v>9</v>
      </c>
      <c r="B2013" t="s">
        <v>1912</v>
      </c>
      <c r="C2013" t="s">
        <v>1983</v>
      </c>
      <c r="D2013" t="str">
        <f>"260907"</f>
        <v>260907</v>
      </c>
      <c r="E2013">
        <v>6568</v>
      </c>
      <c r="F2013">
        <v>3638</v>
      </c>
      <c r="G2013" s="1">
        <v>0.55389999999999995</v>
      </c>
      <c r="H2013">
        <v>10</v>
      </c>
      <c r="I2013">
        <v>6552</v>
      </c>
    </row>
    <row r="2014" spans="1:9" x14ac:dyDescent="0.35">
      <c r="A2014" t="s">
        <v>9</v>
      </c>
      <c r="B2014" t="s">
        <v>1912</v>
      </c>
      <c r="C2014" t="s">
        <v>1984</v>
      </c>
      <c r="D2014" t="str">
        <f>"260908"</f>
        <v>260908</v>
      </c>
      <c r="E2014">
        <v>2872</v>
      </c>
      <c r="F2014">
        <v>1480</v>
      </c>
      <c r="G2014" s="1">
        <v>0.51529999999999998</v>
      </c>
      <c r="H2014">
        <v>6</v>
      </c>
      <c r="I2014">
        <v>2855</v>
      </c>
    </row>
    <row r="2015" spans="1:9" x14ac:dyDescent="0.35">
      <c r="A2015" t="s">
        <v>9</v>
      </c>
      <c r="B2015" t="s">
        <v>1912</v>
      </c>
      <c r="C2015" t="s">
        <v>1985</v>
      </c>
      <c r="D2015" t="str">
        <f>"260909"</f>
        <v>260909</v>
      </c>
      <c r="E2015">
        <v>3253</v>
      </c>
      <c r="F2015">
        <v>1431</v>
      </c>
      <c r="G2015" s="1">
        <v>0.43990000000000001</v>
      </c>
      <c r="H2015">
        <v>5</v>
      </c>
      <c r="I2015">
        <v>3253</v>
      </c>
    </row>
    <row r="2016" spans="1:9" x14ac:dyDescent="0.35">
      <c r="A2016" t="s">
        <v>9</v>
      </c>
      <c r="B2016" t="s">
        <v>1912</v>
      </c>
      <c r="C2016" t="s">
        <v>1986</v>
      </c>
      <c r="D2016" t="str">
        <f>"261001"</f>
        <v>261001</v>
      </c>
      <c r="E2016">
        <v>33107</v>
      </c>
      <c r="F2016">
        <v>18410</v>
      </c>
      <c r="G2016" s="1">
        <v>0.55610000000000004</v>
      </c>
      <c r="H2016">
        <v>28</v>
      </c>
      <c r="I2016">
        <v>32410</v>
      </c>
    </row>
    <row r="2017" spans="1:9" x14ac:dyDescent="0.35">
      <c r="A2017" t="s">
        <v>9</v>
      </c>
      <c r="B2017" t="s">
        <v>1912</v>
      </c>
      <c r="C2017" t="s">
        <v>1987</v>
      </c>
      <c r="D2017" t="str">
        <f>"261002"</f>
        <v>261002</v>
      </c>
      <c r="E2017">
        <v>6253</v>
      </c>
      <c r="F2017">
        <v>3143</v>
      </c>
      <c r="G2017" s="1">
        <v>0.50260000000000005</v>
      </c>
      <c r="H2017">
        <v>5</v>
      </c>
      <c r="I2017">
        <v>6206</v>
      </c>
    </row>
    <row r="2018" spans="1:9" x14ac:dyDescent="0.35">
      <c r="A2018" t="s">
        <v>9</v>
      </c>
      <c r="B2018" t="s">
        <v>1912</v>
      </c>
      <c r="C2018" t="s">
        <v>1988</v>
      </c>
      <c r="D2018" t="str">
        <f>"261003"</f>
        <v>261003</v>
      </c>
      <c r="E2018">
        <v>3963</v>
      </c>
      <c r="F2018">
        <v>2191</v>
      </c>
      <c r="G2018" s="1">
        <v>0.55289999999999995</v>
      </c>
      <c r="H2018">
        <v>8</v>
      </c>
      <c r="I2018">
        <v>3938</v>
      </c>
    </row>
    <row r="2019" spans="1:9" x14ac:dyDescent="0.35">
      <c r="A2019" t="s">
        <v>9</v>
      </c>
      <c r="B2019" t="s">
        <v>1912</v>
      </c>
      <c r="C2019" t="s">
        <v>1989</v>
      </c>
      <c r="D2019" t="str">
        <f>"261004"</f>
        <v>261004</v>
      </c>
      <c r="E2019">
        <v>4570</v>
      </c>
      <c r="F2019">
        <v>2587</v>
      </c>
      <c r="G2019" s="1">
        <v>0.56610000000000005</v>
      </c>
      <c r="H2019">
        <v>6</v>
      </c>
      <c r="I2019">
        <v>4545</v>
      </c>
    </row>
    <row r="2020" spans="1:9" x14ac:dyDescent="0.35">
      <c r="A2020" t="s">
        <v>9</v>
      </c>
      <c r="B2020" t="s">
        <v>1912</v>
      </c>
      <c r="C2020" t="s">
        <v>1990</v>
      </c>
      <c r="D2020" t="str">
        <f>"261005"</f>
        <v>261005</v>
      </c>
      <c r="E2020">
        <v>7640</v>
      </c>
      <c r="F2020">
        <v>4396</v>
      </c>
      <c r="G2020" s="1">
        <v>0.57540000000000002</v>
      </c>
      <c r="H2020">
        <v>12</v>
      </c>
      <c r="I2020">
        <v>7552</v>
      </c>
    </row>
    <row r="2021" spans="1:9" x14ac:dyDescent="0.35">
      <c r="A2021" t="s">
        <v>9</v>
      </c>
      <c r="B2021" t="s">
        <v>1912</v>
      </c>
      <c r="C2021" t="s">
        <v>1991</v>
      </c>
      <c r="D2021" t="str">
        <f>"261101"</f>
        <v>261101</v>
      </c>
      <c r="E2021">
        <v>34880</v>
      </c>
      <c r="F2021">
        <v>20049</v>
      </c>
      <c r="G2021" s="1">
        <v>0.57479999999999998</v>
      </c>
      <c r="H2021">
        <v>22</v>
      </c>
      <c r="I2021">
        <v>34488</v>
      </c>
    </row>
    <row r="2022" spans="1:9" x14ac:dyDescent="0.35">
      <c r="A2022" t="s">
        <v>9</v>
      </c>
      <c r="B2022" t="s">
        <v>1912</v>
      </c>
      <c r="C2022" t="s">
        <v>606</v>
      </c>
      <c r="D2022" t="str">
        <f>"261102"</f>
        <v>261102</v>
      </c>
      <c r="E2022">
        <v>8264</v>
      </c>
      <c r="F2022">
        <v>4145</v>
      </c>
      <c r="G2022" s="1">
        <v>0.50160000000000005</v>
      </c>
      <c r="H2022">
        <v>12</v>
      </c>
      <c r="I2022">
        <v>8224</v>
      </c>
    </row>
    <row r="2023" spans="1:9" x14ac:dyDescent="0.35">
      <c r="A2023" t="s">
        <v>9</v>
      </c>
      <c r="B2023" t="s">
        <v>1912</v>
      </c>
      <c r="C2023" t="s">
        <v>1992</v>
      </c>
      <c r="D2023" t="str">
        <f>"261103"</f>
        <v>261103</v>
      </c>
      <c r="E2023">
        <v>6358</v>
      </c>
      <c r="F2023">
        <v>3627</v>
      </c>
      <c r="G2023" s="1">
        <v>0.57050000000000001</v>
      </c>
      <c r="H2023">
        <v>10</v>
      </c>
      <c r="I2023">
        <v>6311</v>
      </c>
    </row>
    <row r="2024" spans="1:9" x14ac:dyDescent="0.35">
      <c r="A2024" t="s">
        <v>9</v>
      </c>
      <c r="B2024" t="s">
        <v>1912</v>
      </c>
      <c r="C2024" t="s">
        <v>1993</v>
      </c>
      <c r="D2024" t="str">
        <f>"261104"</f>
        <v>261104</v>
      </c>
      <c r="E2024">
        <v>11602</v>
      </c>
      <c r="F2024">
        <v>5412</v>
      </c>
      <c r="G2024" s="1">
        <v>0.46650000000000003</v>
      </c>
      <c r="H2024">
        <v>16</v>
      </c>
      <c r="I2024">
        <v>11545</v>
      </c>
    </row>
    <row r="2025" spans="1:9" x14ac:dyDescent="0.35">
      <c r="A2025" t="s">
        <v>9</v>
      </c>
      <c r="B2025" t="s">
        <v>1912</v>
      </c>
      <c r="C2025" t="s">
        <v>1994</v>
      </c>
      <c r="D2025" t="str">
        <f>"261105"</f>
        <v>261105</v>
      </c>
      <c r="E2025">
        <v>5158</v>
      </c>
      <c r="F2025">
        <v>2970</v>
      </c>
      <c r="G2025" s="1">
        <v>0.57579999999999998</v>
      </c>
      <c r="H2025">
        <v>6</v>
      </c>
      <c r="I2025">
        <v>5147</v>
      </c>
    </row>
    <row r="2026" spans="1:9" x14ac:dyDescent="0.35">
      <c r="A2026" t="s">
        <v>9</v>
      </c>
      <c r="B2026" t="s">
        <v>1912</v>
      </c>
      <c r="C2026" t="s">
        <v>1995</v>
      </c>
      <c r="D2026" t="str">
        <f>"261201"</f>
        <v>261201</v>
      </c>
      <c r="E2026">
        <v>5926</v>
      </c>
      <c r="F2026">
        <v>3179</v>
      </c>
      <c r="G2026" s="1">
        <v>0.53639999999999999</v>
      </c>
      <c r="H2026">
        <v>9</v>
      </c>
      <c r="I2026">
        <v>5905</v>
      </c>
    </row>
    <row r="2027" spans="1:9" x14ac:dyDescent="0.35">
      <c r="A2027" t="s">
        <v>9</v>
      </c>
      <c r="B2027" t="s">
        <v>1912</v>
      </c>
      <c r="C2027" t="s">
        <v>769</v>
      </c>
      <c r="D2027" t="str">
        <f>"261202"</f>
        <v>261202</v>
      </c>
      <c r="E2027">
        <v>3178</v>
      </c>
      <c r="F2027">
        <v>1800</v>
      </c>
      <c r="G2027" s="1">
        <v>0.56640000000000001</v>
      </c>
      <c r="H2027">
        <v>4</v>
      </c>
      <c r="I2027">
        <v>3175</v>
      </c>
    </row>
    <row r="2028" spans="1:9" x14ac:dyDescent="0.35">
      <c r="A2028" t="s">
        <v>9</v>
      </c>
      <c r="B2028" t="s">
        <v>1912</v>
      </c>
      <c r="C2028" t="s">
        <v>99</v>
      </c>
      <c r="D2028" t="str">
        <f>"261203"</f>
        <v>261203</v>
      </c>
      <c r="E2028">
        <v>3046</v>
      </c>
      <c r="F2028">
        <v>1497</v>
      </c>
      <c r="G2028" s="1">
        <v>0.49149999999999999</v>
      </c>
      <c r="H2028">
        <v>7</v>
      </c>
      <c r="I2028">
        <v>3003</v>
      </c>
    </row>
    <row r="2029" spans="1:9" x14ac:dyDescent="0.35">
      <c r="A2029" t="s">
        <v>9</v>
      </c>
      <c r="B2029" t="s">
        <v>1912</v>
      </c>
      <c r="C2029" t="s">
        <v>197</v>
      </c>
      <c r="D2029" t="str">
        <f>"261204"</f>
        <v>261204</v>
      </c>
      <c r="E2029">
        <v>5974</v>
      </c>
      <c r="F2029">
        <v>3422</v>
      </c>
      <c r="G2029" s="1">
        <v>0.57279999999999998</v>
      </c>
      <c r="H2029">
        <v>11</v>
      </c>
      <c r="I2029">
        <v>5951</v>
      </c>
    </row>
    <row r="2030" spans="1:9" x14ac:dyDescent="0.35">
      <c r="A2030" t="s">
        <v>9</v>
      </c>
      <c r="B2030" t="s">
        <v>1912</v>
      </c>
      <c r="C2030" t="s">
        <v>1996</v>
      </c>
      <c r="D2030" t="str">
        <f>"261205"</f>
        <v>261205</v>
      </c>
      <c r="E2030">
        <v>8749</v>
      </c>
      <c r="F2030">
        <v>4943</v>
      </c>
      <c r="G2030" s="1">
        <v>0.56499999999999995</v>
      </c>
      <c r="H2030">
        <v>11</v>
      </c>
      <c r="I2030">
        <v>8689</v>
      </c>
    </row>
    <row r="2031" spans="1:9" x14ac:dyDescent="0.35">
      <c r="A2031" t="s">
        <v>9</v>
      </c>
      <c r="B2031" t="s">
        <v>1912</v>
      </c>
      <c r="C2031" t="s">
        <v>1997</v>
      </c>
      <c r="D2031" t="str">
        <f>"261206"</f>
        <v>261206</v>
      </c>
      <c r="E2031">
        <v>4977</v>
      </c>
      <c r="F2031">
        <v>2676</v>
      </c>
      <c r="G2031" s="1">
        <v>0.53769999999999996</v>
      </c>
      <c r="H2031">
        <v>11</v>
      </c>
      <c r="I2031">
        <v>4961</v>
      </c>
    </row>
    <row r="2032" spans="1:9" x14ac:dyDescent="0.35">
      <c r="A2032" t="s">
        <v>9</v>
      </c>
      <c r="B2032" t="s">
        <v>1912</v>
      </c>
      <c r="C2032" t="s">
        <v>1998</v>
      </c>
      <c r="D2032" t="str">
        <f>"261207"</f>
        <v>261207</v>
      </c>
      <c r="E2032">
        <v>19281</v>
      </c>
      <c r="F2032">
        <v>10547</v>
      </c>
      <c r="G2032" s="1">
        <v>0.54700000000000004</v>
      </c>
      <c r="H2032">
        <v>24</v>
      </c>
      <c r="I2032">
        <v>19247</v>
      </c>
    </row>
    <row r="2033" spans="1:9" x14ac:dyDescent="0.35">
      <c r="A2033" t="s">
        <v>9</v>
      </c>
      <c r="B2033" t="s">
        <v>1912</v>
      </c>
      <c r="C2033" t="s">
        <v>1999</v>
      </c>
      <c r="D2033" t="str">
        <f>"261208"</f>
        <v>261208</v>
      </c>
      <c r="E2033">
        <v>3556</v>
      </c>
      <c r="F2033">
        <v>1833</v>
      </c>
      <c r="G2033" s="1">
        <v>0.51549999999999996</v>
      </c>
      <c r="H2033">
        <v>6</v>
      </c>
      <c r="I2033">
        <v>3524</v>
      </c>
    </row>
    <row r="2034" spans="1:9" x14ac:dyDescent="0.35">
      <c r="A2034" t="s">
        <v>9</v>
      </c>
      <c r="B2034" t="s">
        <v>1912</v>
      </c>
      <c r="C2034" t="s">
        <v>2000</v>
      </c>
      <c r="D2034" t="str">
        <f>"261301"</f>
        <v>261301</v>
      </c>
      <c r="E2034">
        <v>4071</v>
      </c>
      <c r="F2034">
        <v>2411</v>
      </c>
      <c r="G2034" s="1">
        <v>0.59219999999999995</v>
      </c>
      <c r="H2034">
        <v>5</v>
      </c>
      <c r="I2034">
        <v>4043</v>
      </c>
    </row>
    <row r="2035" spans="1:9" x14ac:dyDescent="0.35">
      <c r="A2035" t="s">
        <v>9</v>
      </c>
      <c r="B2035" t="s">
        <v>1912</v>
      </c>
      <c r="C2035" t="s">
        <v>2001</v>
      </c>
      <c r="D2035" t="str">
        <f>"261302"</f>
        <v>261302</v>
      </c>
      <c r="E2035">
        <v>8136</v>
      </c>
      <c r="F2035">
        <v>4562</v>
      </c>
      <c r="G2035" s="1">
        <v>0.56069999999999998</v>
      </c>
      <c r="H2035">
        <v>7</v>
      </c>
      <c r="I2035">
        <v>8113</v>
      </c>
    </row>
    <row r="2036" spans="1:9" x14ac:dyDescent="0.35">
      <c r="A2036" t="s">
        <v>9</v>
      </c>
      <c r="B2036" t="s">
        <v>1912</v>
      </c>
      <c r="C2036" t="s">
        <v>2002</v>
      </c>
      <c r="D2036" t="str">
        <f>"261303"</f>
        <v>261303</v>
      </c>
      <c r="E2036">
        <v>2241</v>
      </c>
      <c r="F2036">
        <v>1148</v>
      </c>
      <c r="G2036" s="1">
        <v>0.51229999999999998</v>
      </c>
      <c r="H2036">
        <v>4</v>
      </c>
      <c r="I2036">
        <v>2162</v>
      </c>
    </row>
    <row r="2037" spans="1:9" x14ac:dyDescent="0.35">
      <c r="A2037" t="s">
        <v>9</v>
      </c>
      <c r="B2037" t="s">
        <v>1912</v>
      </c>
      <c r="C2037" t="s">
        <v>64</v>
      </c>
      <c r="D2037" t="str">
        <f>"261304"</f>
        <v>261304</v>
      </c>
      <c r="E2037">
        <v>1982</v>
      </c>
      <c r="F2037">
        <v>959</v>
      </c>
      <c r="G2037" s="1">
        <v>0.4839</v>
      </c>
      <c r="H2037">
        <v>3</v>
      </c>
      <c r="I2037">
        <v>1971</v>
      </c>
    </row>
    <row r="2038" spans="1:9" x14ac:dyDescent="0.35">
      <c r="A2038" t="s">
        <v>9</v>
      </c>
      <c r="B2038" t="s">
        <v>1912</v>
      </c>
      <c r="C2038" t="s">
        <v>2003</v>
      </c>
      <c r="D2038" t="str">
        <f>"261305"</f>
        <v>261305</v>
      </c>
      <c r="E2038">
        <v>3717</v>
      </c>
      <c r="F2038">
        <v>1996</v>
      </c>
      <c r="G2038" s="1">
        <v>0.53700000000000003</v>
      </c>
      <c r="H2038">
        <v>7</v>
      </c>
      <c r="I2038">
        <v>3667</v>
      </c>
    </row>
    <row r="2039" spans="1:9" x14ac:dyDescent="0.35">
      <c r="A2039" t="s">
        <v>9</v>
      </c>
      <c r="B2039" t="s">
        <v>1912</v>
      </c>
      <c r="C2039" t="s">
        <v>2004</v>
      </c>
      <c r="D2039" t="str">
        <f>"261306"</f>
        <v>261306</v>
      </c>
      <c r="E2039">
        <v>14882</v>
      </c>
      <c r="F2039">
        <v>8170</v>
      </c>
      <c r="G2039" s="1">
        <v>0.54900000000000004</v>
      </c>
      <c r="H2039">
        <v>12</v>
      </c>
      <c r="I2039">
        <v>14748</v>
      </c>
    </row>
    <row r="2040" spans="1:9" x14ac:dyDescent="0.35">
      <c r="A2040" t="s">
        <v>9</v>
      </c>
      <c r="B2040" t="s">
        <v>1912</v>
      </c>
      <c r="C2040" t="s">
        <v>2005</v>
      </c>
      <c r="D2040" t="str">
        <f>"266101"</f>
        <v>266101</v>
      </c>
      <c r="E2040">
        <v>141046</v>
      </c>
      <c r="F2040">
        <v>83372</v>
      </c>
      <c r="G2040" s="1">
        <v>0.59109999999999996</v>
      </c>
      <c r="H2040">
        <v>83</v>
      </c>
      <c r="I2040">
        <v>139716</v>
      </c>
    </row>
    <row r="2041" spans="1:9" x14ac:dyDescent="0.35">
      <c r="A2041" t="s">
        <v>9</v>
      </c>
      <c r="B2041" t="s">
        <v>2006</v>
      </c>
      <c r="C2041" t="s">
        <v>2007</v>
      </c>
      <c r="D2041" t="str">
        <f>"280101"</f>
        <v>280101</v>
      </c>
      <c r="E2041">
        <v>16192</v>
      </c>
      <c r="F2041">
        <v>9285</v>
      </c>
      <c r="G2041" s="1">
        <v>0.57340000000000002</v>
      </c>
      <c r="H2041">
        <v>11</v>
      </c>
      <c r="I2041">
        <v>15993</v>
      </c>
    </row>
    <row r="2042" spans="1:9" x14ac:dyDescent="0.35">
      <c r="A2042" t="s">
        <v>9</v>
      </c>
      <c r="B2042" t="s">
        <v>2006</v>
      </c>
      <c r="C2042" t="s">
        <v>2008</v>
      </c>
      <c r="D2042" t="str">
        <f>"280102"</f>
        <v>280102</v>
      </c>
      <c r="E2042">
        <v>2879</v>
      </c>
      <c r="F2042">
        <v>1376</v>
      </c>
      <c r="G2042" s="1">
        <v>0.47789999999999999</v>
      </c>
      <c r="H2042">
        <v>2</v>
      </c>
      <c r="I2042">
        <v>2834</v>
      </c>
    </row>
    <row r="2043" spans="1:9" x14ac:dyDescent="0.35">
      <c r="A2043" t="s">
        <v>9</v>
      </c>
      <c r="B2043" t="s">
        <v>2006</v>
      </c>
      <c r="C2043" t="s">
        <v>2009</v>
      </c>
      <c r="D2043" t="str">
        <f>"280103"</f>
        <v>280103</v>
      </c>
      <c r="E2043">
        <v>7882</v>
      </c>
      <c r="F2043">
        <v>4095</v>
      </c>
      <c r="G2043" s="1">
        <v>0.51949999999999996</v>
      </c>
      <c r="H2043">
        <v>10</v>
      </c>
      <c r="I2043">
        <v>7825</v>
      </c>
    </row>
    <row r="2044" spans="1:9" x14ac:dyDescent="0.35">
      <c r="A2044" t="s">
        <v>9</v>
      </c>
      <c r="B2044" t="s">
        <v>2006</v>
      </c>
      <c r="C2044" t="s">
        <v>2010</v>
      </c>
      <c r="D2044" t="str">
        <f>"280104"</f>
        <v>280104</v>
      </c>
      <c r="E2044">
        <v>4545</v>
      </c>
      <c r="F2044">
        <v>2212</v>
      </c>
      <c r="G2044" s="1">
        <v>0.48670000000000002</v>
      </c>
      <c r="H2044">
        <v>10</v>
      </c>
      <c r="I2044">
        <v>4528</v>
      </c>
    </row>
    <row r="2045" spans="1:9" x14ac:dyDescent="0.35">
      <c r="A2045" t="s">
        <v>9</v>
      </c>
      <c r="B2045" t="s">
        <v>2006</v>
      </c>
      <c r="C2045" t="s">
        <v>2011</v>
      </c>
      <c r="D2045" t="str">
        <f>"280105"</f>
        <v>280105</v>
      </c>
      <c r="E2045">
        <v>4904</v>
      </c>
      <c r="F2045">
        <v>2256</v>
      </c>
      <c r="G2045" s="1">
        <v>0.46</v>
      </c>
      <c r="H2045">
        <v>7</v>
      </c>
      <c r="I2045">
        <v>4874</v>
      </c>
    </row>
    <row r="2046" spans="1:9" x14ac:dyDescent="0.35">
      <c r="A2046" t="s">
        <v>9</v>
      </c>
      <c r="B2046" t="s">
        <v>2006</v>
      </c>
      <c r="C2046" t="s">
        <v>2012</v>
      </c>
      <c r="D2046" t="str">
        <f>"280106"</f>
        <v>280106</v>
      </c>
      <c r="E2046">
        <v>4376</v>
      </c>
      <c r="F2046">
        <v>2109</v>
      </c>
      <c r="G2046" s="1">
        <v>0.4819</v>
      </c>
      <c r="H2046">
        <v>9</v>
      </c>
      <c r="I2046">
        <v>4344</v>
      </c>
    </row>
    <row r="2047" spans="1:9" x14ac:dyDescent="0.35">
      <c r="A2047" t="s">
        <v>9</v>
      </c>
      <c r="B2047" t="s">
        <v>2006</v>
      </c>
      <c r="C2047" t="s">
        <v>2013</v>
      </c>
      <c r="D2047" t="str">
        <f>"280201"</f>
        <v>280201</v>
      </c>
      <c r="E2047">
        <v>11586</v>
      </c>
      <c r="F2047">
        <v>6614</v>
      </c>
      <c r="G2047" s="1">
        <v>0.57089999999999996</v>
      </c>
      <c r="H2047">
        <v>8</v>
      </c>
      <c r="I2047">
        <v>11550</v>
      </c>
    </row>
    <row r="2048" spans="1:9" x14ac:dyDescent="0.35">
      <c r="A2048" t="s">
        <v>9</v>
      </c>
      <c r="B2048" t="s">
        <v>2006</v>
      </c>
      <c r="C2048" t="s">
        <v>2014</v>
      </c>
      <c r="D2048" t="str">
        <f>"280202"</f>
        <v>280202</v>
      </c>
      <c r="E2048">
        <v>4410</v>
      </c>
      <c r="F2048">
        <v>2212</v>
      </c>
      <c r="G2048" s="1">
        <v>0.50160000000000005</v>
      </c>
      <c r="H2048">
        <v>7</v>
      </c>
      <c r="I2048">
        <v>4393</v>
      </c>
    </row>
    <row r="2049" spans="1:9" x14ac:dyDescent="0.35">
      <c r="A2049" t="s">
        <v>9</v>
      </c>
      <c r="B2049" t="s">
        <v>2006</v>
      </c>
      <c r="C2049" t="s">
        <v>2015</v>
      </c>
      <c r="D2049" t="str">
        <f>"280203"</f>
        <v>280203</v>
      </c>
      <c r="E2049">
        <v>2554</v>
      </c>
      <c r="F2049">
        <v>1357</v>
      </c>
      <c r="G2049" s="1">
        <v>0.53129999999999999</v>
      </c>
      <c r="H2049">
        <v>3</v>
      </c>
      <c r="I2049">
        <v>2516</v>
      </c>
    </row>
    <row r="2050" spans="1:9" x14ac:dyDescent="0.35">
      <c r="A2050" t="s">
        <v>9</v>
      </c>
      <c r="B2050" t="s">
        <v>2006</v>
      </c>
      <c r="C2050" t="s">
        <v>2016</v>
      </c>
      <c r="D2050" t="str">
        <f>"280204"</f>
        <v>280204</v>
      </c>
      <c r="E2050">
        <v>2014</v>
      </c>
      <c r="F2050">
        <v>920</v>
      </c>
      <c r="G2050" s="1">
        <v>0.45679999999999998</v>
      </c>
      <c r="H2050">
        <v>4</v>
      </c>
      <c r="I2050">
        <v>2007</v>
      </c>
    </row>
    <row r="2051" spans="1:9" x14ac:dyDescent="0.35">
      <c r="A2051" t="s">
        <v>9</v>
      </c>
      <c r="B2051" t="s">
        <v>2006</v>
      </c>
      <c r="C2051" t="s">
        <v>2017</v>
      </c>
      <c r="D2051" t="str">
        <f>"280205"</f>
        <v>280205</v>
      </c>
      <c r="E2051">
        <v>4491</v>
      </c>
      <c r="F2051">
        <v>2233</v>
      </c>
      <c r="G2051" s="1">
        <v>0.49719999999999998</v>
      </c>
      <c r="H2051">
        <v>7</v>
      </c>
      <c r="I2051">
        <v>4472</v>
      </c>
    </row>
    <row r="2052" spans="1:9" x14ac:dyDescent="0.35">
      <c r="A2052" t="s">
        <v>9</v>
      </c>
      <c r="B2052" t="s">
        <v>2006</v>
      </c>
      <c r="C2052" t="s">
        <v>2018</v>
      </c>
      <c r="D2052" t="str">
        <f>"280206"</f>
        <v>280206</v>
      </c>
      <c r="E2052">
        <v>1829</v>
      </c>
      <c r="F2052">
        <v>994</v>
      </c>
      <c r="G2052" s="1">
        <v>0.54349999999999998</v>
      </c>
      <c r="H2052">
        <v>4</v>
      </c>
      <c r="I2052">
        <v>1812</v>
      </c>
    </row>
    <row r="2053" spans="1:9" x14ac:dyDescent="0.35">
      <c r="A2053" t="s">
        <v>9</v>
      </c>
      <c r="B2053" t="s">
        <v>2006</v>
      </c>
      <c r="C2053" t="s">
        <v>2019</v>
      </c>
      <c r="D2053" t="str">
        <f>"280207"</f>
        <v>280207</v>
      </c>
      <c r="E2053">
        <v>2056</v>
      </c>
      <c r="F2053">
        <v>1021</v>
      </c>
      <c r="G2053" s="1">
        <v>0.49659999999999999</v>
      </c>
      <c r="H2053">
        <v>4</v>
      </c>
      <c r="I2053">
        <v>2044</v>
      </c>
    </row>
    <row r="2054" spans="1:9" x14ac:dyDescent="0.35">
      <c r="A2054" t="s">
        <v>9</v>
      </c>
      <c r="B2054" t="s">
        <v>2006</v>
      </c>
      <c r="C2054" t="s">
        <v>2020</v>
      </c>
      <c r="D2054" t="str">
        <f>"280301"</f>
        <v>280301</v>
      </c>
      <c r="E2054">
        <v>15268</v>
      </c>
      <c r="F2054">
        <v>8544</v>
      </c>
      <c r="G2054" s="1">
        <v>0.55959999999999999</v>
      </c>
      <c r="H2054">
        <v>12</v>
      </c>
      <c r="I2054">
        <v>15226</v>
      </c>
    </row>
    <row r="2055" spans="1:9" x14ac:dyDescent="0.35">
      <c r="A2055" t="s">
        <v>9</v>
      </c>
      <c r="B2055" t="s">
        <v>2006</v>
      </c>
      <c r="C2055" t="s">
        <v>2021</v>
      </c>
      <c r="D2055" t="str">
        <f>"280302"</f>
        <v>280302</v>
      </c>
      <c r="E2055">
        <v>7164</v>
      </c>
      <c r="F2055">
        <v>3710</v>
      </c>
      <c r="G2055" s="1">
        <v>0.51790000000000003</v>
      </c>
      <c r="H2055">
        <v>20</v>
      </c>
      <c r="I2055">
        <v>7131</v>
      </c>
    </row>
    <row r="2056" spans="1:9" x14ac:dyDescent="0.35">
      <c r="A2056" t="s">
        <v>9</v>
      </c>
      <c r="B2056" t="s">
        <v>2006</v>
      </c>
      <c r="C2056" t="s">
        <v>2022</v>
      </c>
      <c r="D2056" t="str">
        <f>"280303"</f>
        <v>280303</v>
      </c>
      <c r="E2056">
        <v>5204</v>
      </c>
      <c r="F2056">
        <v>2546</v>
      </c>
      <c r="G2056" s="1">
        <v>0.48920000000000002</v>
      </c>
      <c r="H2056">
        <v>8</v>
      </c>
      <c r="I2056">
        <v>5182</v>
      </c>
    </row>
    <row r="2057" spans="1:9" x14ac:dyDescent="0.35">
      <c r="A2057" t="s">
        <v>9</v>
      </c>
      <c r="B2057" t="s">
        <v>2006</v>
      </c>
      <c r="C2057" t="s">
        <v>2023</v>
      </c>
      <c r="D2057" t="str">
        <f>"280304"</f>
        <v>280304</v>
      </c>
      <c r="E2057">
        <v>10369</v>
      </c>
      <c r="F2057">
        <v>5493</v>
      </c>
      <c r="G2057" s="1">
        <v>0.52980000000000005</v>
      </c>
      <c r="H2057">
        <v>15</v>
      </c>
      <c r="I2057">
        <v>10329</v>
      </c>
    </row>
    <row r="2058" spans="1:9" x14ac:dyDescent="0.35">
      <c r="A2058" t="s">
        <v>9</v>
      </c>
      <c r="B2058" t="s">
        <v>2006</v>
      </c>
      <c r="C2058" t="s">
        <v>2024</v>
      </c>
      <c r="D2058" t="str">
        <f>"280305"</f>
        <v>280305</v>
      </c>
      <c r="E2058">
        <v>4202</v>
      </c>
      <c r="F2058">
        <v>2274</v>
      </c>
      <c r="G2058" s="1">
        <v>0.54120000000000001</v>
      </c>
      <c r="H2058">
        <v>11</v>
      </c>
      <c r="I2058">
        <v>4183</v>
      </c>
    </row>
    <row r="2059" spans="1:9" x14ac:dyDescent="0.35">
      <c r="A2059" t="s">
        <v>9</v>
      </c>
      <c r="B2059" t="s">
        <v>2006</v>
      </c>
      <c r="C2059" t="s">
        <v>1204</v>
      </c>
      <c r="D2059" t="str">
        <f>"280306"</f>
        <v>280306</v>
      </c>
      <c r="E2059">
        <v>5355</v>
      </c>
      <c r="F2059">
        <v>2947</v>
      </c>
      <c r="G2059" s="1">
        <v>0.55030000000000001</v>
      </c>
      <c r="H2059">
        <v>9</v>
      </c>
      <c r="I2059">
        <v>5327</v>
      </c>
    </row>
    <row r="2060" spans="1:9" x14ac:dyDescent="0.35">
      <c r="A2060" t="s">
        <v>9</v>
      </c>
      <c r="B2060" t="s">
        <v>2006</v>
      </c>
      <c r="C2060" t="s">
        <v>2025</v>
      </c>
      <c r="D2060" t="str">
        <f>"280401"</f>
        <v>280401</v>
      </c>
      <c r="E2060">
        <v>5800</v>
      </c>
      <c r="F2060">
        <v>3296</v>
      </c>
      <c r="G2060" s="1">
        <v>0.56830000000000003</v>
      </c>
      <c r="H2060">
        <v>8</v>
      </c>
      <c r="I2060">
        <v>5678</v>
      </c>
    </row>
    <row r="2061" spans="1:9" x14ac:dyDescent="0.35">
      <c r="A2061" t="s">
        <v>9</v>
      </c>
      <c r="B2061" t="s">
        <v>2006</v>
      </c>
      <c r="C2061" t="s">
        <v>2026</v>
      </c>
      <c r="D2061" t="str">
        <f>"280402"</f>
        <v>280402</v>
      </c>
      <c r="E2061">
        <v>2254</v>
      </c>
      <c r="F2061">
        <v>1091</v>
      </c>
      <c r="G2061" s="1">
        <v>0.48399999999999999</v>
      </c>
      <c r="H2061">
        <v>4</v>
      </c>
      <c r="I2061">
        <v>2240</v>
      </c>
    </row>
    <row r="2062" spans="1:9" x14ac:dyDescent="0.35">
      <c r="A2062" t="s">
        <v>9</v>
      </c>
      <c r="B2062" t="s">
        <v>2006</v>
      </c>
      <c r="C2062" t="s">
        <v>2027</v>
      </c>
      <c r="D2062" t="str">
        <f>"280403"</f>
        <v>280403</v>
      </c>
      <c r="E2062">
        <v>3639</v>
      </c>
      <c r="F2062">
        <v>1938</v>
      </c>
      <c r="G2062" s="1">
        <v>0.53259999999999996</v>
      </c>
      <c r="H2062">
        <v>5</v>
      </c>
      <c r="I2062">
        <v>3620</v>
      </c>
    </row>
    <row r="2063" spans="1:9" x14ac:dyDescent="0.35">
      <c r="A2063" t="s">
        <v>9</v>
      </c>
      <c r="B2063" t="s">
        <v>2006</v>
      </c>
      <c r="C2063" t="s">
        <v>2028</v>
      </c>
      <c r="D2063" t="str">
        <f>"280404"</f>
        <v>280404</v>
      </c>
      <c r="E2063">
        <v>2993</v>
      </c>
      <c r="F2063">
        <v>1564</v>
      </c>
      <c r="G2063" s="1">
        <v>0.52259999999999995</v>
      </c>
      <c r="H2063">
        <v>6</v>
      </c>
      <c r="I2063">
        <v>2962</v>
      </c>
    </row>
    <row r="2064" spans="1:9" x14ac:dyDescent="0.35">
      <c r="A2064" t="s">
        <v>9</v>
      </c>
      <c r="B2064" t="s">
        <v>2006</v>
      </c>
      <c r="C2064" t="s">
        <v>2029</v>
      </c>
      <c r="D2064" t="str">
        <f>"280405"</f>
        <v>280405</v>
      </c>
      <c r="E2064">
        <v>2527</v>
      </c>
      <c r="F2064">
        <v>1396</v>
      </c>
      <c r="G2064" s="1">
        <v>0.5524</v>
      </c>
      <c r="H2064">
        <v>2</v>
      </c>
      <c r="I2064">
        <v>2497</v>
      </c>
    </row>
    <row r="2065" spans="1:9" x14ac:dyDescent="0.35">
      <c r="A2065" t="s">
        <v>9</v>
      </c>
      <c r="B2065" t="s">
        <v>2006</v>
      </c>
      <c r="C2065" t="s">
        <v>2030</v>
      </c>
      <c r="D2065" t="str">
        <f>"280406"</f>
        <v>280406</v>
      </c>
      <c r="E2065">
        <v>3381</v>
      </c>
      <c r="F2065">
        <v>1813</v>
      </c>
      <c r="G2065" s="1">
        <v>0.53620000000000001</v>
      </c>
      <c r="H2065">
        <v>4</v>
      </c>
      <c r="I2065">
        <v>3354</v>
      </c>
    </row>
    <row r="2066" spans="1:9" x14ac:dyDescent="0.35">
      <c r="A2066" t="s">
        <v>9</v>
      </c>
      <c r="B2066" t="s">
        <v>2006</v>
      </c>
      <c r="C2066" t="s">
        <v>2031</v>
      </c>
      <c r="D2066" t="str">
        <f>"280407"</f>
        <v>280407</v>
      </c>
      <c r="E2066">
        <v>14174</v>
      </c>
      <c r="F2066">
        <v>7584</v>
      </c>
      <c r="G2066" s="1">
        <v>0.53510000000000002</v>
      </c>
      <c r="H2066">
        <v>17</v>
      </c>
      <c r="I2066">
        <v>14110</v>
      </c>
    </row>
    <row r="2067" spans="1:9" x14ac:dyDescent="0.35">
      <c r="A2067" t="s">
        <v>9</v>
      </c>
      <c r="B2067" t="s">
        <v>2006</v>
      </c>
      <c r="C2067" t="s">
        <v>2032</v>
      </c>
      <c r="D2067" t="str">
        <f>"280408"</f>
        <v>280408</v>
      </c>
      <c r="E2067">
        <v>2853</v>
      </c>
      <c r="F2067">
        <v>1361</v>
      </c>
      <c r="G2067" s="1">
        <v>0.47699999999999998</v>
      </c>
      <c r="H2067">
        <v>3</v>
      </c>
      <c r="I2067">
        <v>2830</v>
      </c>
    </row>
    <row r="2068" spans="1:9" x14ac:dyDescent="0.35">
      <c r="A2068" t="s">
        <v>9</v>
      </c>
      <c r="B2068" t="s">
        <v>2006</v>
      </c>
      <c r="C2068" t="s">
        <v>2033</v>
      </c>
      <c r="D2068" t="str">
        <f>"280409"</f>
        <v>280409</v>
      </c>
      <c r="E2068">
        <v>4721</v>
      </c>
      <c r="F2068">
        <v>2551</v>
      </c>
      <c r="G2068" s="1">
        <v>0.54039999999999999</v>
      </c>
      <c r="H2068">
        <v>9</v>
      </c>
      <c r="I2068">
        <v>4650</v>
      </c>
    </row>
    <row r="2069" spans="1:9" x14ac:dyDescent="0.35">
      <c r="A2069" t="s">
        <v>9</v>
      </c>
      <c r="B2069" t="s">
        <v>2006</v>
      </c>
      <c r="C2069" t="s">
        <v>2034</v>
      </c>
      <c r="D2069" t="str">
        <f>"280501"</f>
        <v>280501</v>
      </c>
      <c r="E2069">
        <v>41674</v>
      </c>
      <c r="F2069">
        <v>20779</v>
      </c>
      <c r="G2069" s="1">
        <v>0.49859999999999999</v>
      </c>
      <c r="H2069">
        <v>19</v>
      </c>
      <c r="I2069">
        <v>41498</v>
      </c>
    </row>
    <row r="2070" spans="1:9" x14ac:dyDescent="0.35">
      <c r="A2070" t="s">
        <v>9</v>
      </c>
      <c r="B2070" t="s">
        <v>2006</v>
      </c>
      <c r="C2070" t="s">
        <v>2035</v>
      </c>
      <c r="D2070" t="str">
        <f>"280502"</f>
        <v>280502</v>
      </c>
      <c r="E2070">
        <v>8538</v>
      </c>
      <c r="F2070">
        <v>4619</v>
      </c>
      <c r="G2070" s="1">
        <v>0.54100000000000004</v>
      </c>
      <c r="H2070">
        <v>16</v>
      </c>
      <c r="I2070">
        <v>8530</v>
      </c>
    </row>
    <row r="2071" spans="1:9" x14ac:dyDescent="0.35">
      <c r="A2071" t="s">
        <v>9</v>
      </c>
      <c r="B2071" t="s">
        <v>2006</v>
      </c>
      <c r="C2071" t="s">
        <v>2036</v>
      </c>
      <c r="D2071" t="str">
        <f>"280503"</f>
        <v>280503</v>
      </c>
      <c r="E2071">
        <v>4838</v>
      </c>
      <c r="F2071">
        <v>2335</v>
      </c>
      <c r="G2071" s="1">
        <v>0.48259999999999997</v>
      </c>
      <c r="H2071">
        <v>6</v>
      </c>
      <c r="I2071">
        <v>4806</v>
      </c>
    </row>
    <row r="2072" spans="1:9" x14ac:dyDescent="0.35">
      <c r="A2072" t="s">
        <v>9</v>
      </c>
      <c r="B2072" t="s">
        <v>2006</v>
      </c>
      <c r="C2072" t="s">
        <v>2037</v>
      </c>
      <c r="D2072" t="str">
        <f>"280504"</f>
        <v>280504</v>
      </c>
      <c r="E2072">
        <v>5239</v>
      </c>
      <c r="F2072">
        <v>2325</v>
      </c>
      <c r="G2072" s="1">
        <v>0.44379999999999997</v>
      </c>
      <c r="H2072">
        <v>8</v>
      </c>
      <c r="I2072">
        <v>5214</v>
      </c>
    </row>
    <row r="2073" spans="1:9" x14ac:dyDescent="0.35">
      <c r="A2073" t="s">
        <v>9</v>
      </c>
      <c r="B2073" t="s">
        <v>2006</v>
      </c>
      <c r="C2073" t="s">
        <v>2038</v>
      </c>
      <c r="D2073" t="str">
        <f>"280505"</f>
        <v>280505</v>
      </c>
      <c r="E2073">
        <v>2808</v>
      </c>
      <c r="F2073">
        <v>1320</v>
      </c>
      <c r="G2073" s="1">
        <v>0.47010000000000002</v>
      </c>
      <c r="H2073">
        <v>4</v>
      </c>
      <c r="I2073">
        <v>2681</v>
      </c>
    </row>
    <row r="2074" spans="1:9" x14ac:dyDescent="0.35">
      <c r="A2074" t="s">
        <v>9</v>
      </c>
      <c r="B2074" t="s">
        <v>2006</v>
      </c>
      <c r="C2074" t="s">
        <v>2039</v>
      </c>
      <c r="D2074" t="str">
        <f>"280601"</f>
        <v>280601</v>
      </c>
      <c r="E2074">
        <v>19942</v>
      </c>
      <c r="F2074">
        <v>11622</v>
      </c>
      <c r="G2074" s="1">
        <v>0.58279999999999998</v>
      </c>
      <c r="H2074">
        <v>9</v>
      </c>
      <c r="I2074">
        <v>19849</v>
      </c>
    </row>
    <row r="2075" spans="1:9" x14ac:dyDescent="0.35">
      <c r="A2075" t="s">
        <v>9</v>
      </c>
      <c r="B2075" t="s">
        <v>2006</v>
      </c>
      <c r="C2075" t="s">
        <v>2040</v>
      </c>
      <c r="D2075" t="str">
        <f>"280604"</f>
        <v>280604</v>
      </c>
      <c r="E2075">
        <v>6941</v>
      </c>
      <c r="F2075">
        <v>4202</v>
      </c>
      <c r="G2075" s="1">
        <v>0.60540000000000005</v>
      </c>
      <c r="H2075">
        <v>17</v>
      </c>
      <c r="I2075">
        <v>6822</v>
      </c>
    </row>
    <row r="2076" spans="1:9" x14ac:dyDescent="0.35">
      <c r="A2076" t="s">
        <v>9</v>
      </c>
      <c r="B2076" t="s">
        <v>2006</v>
      </c>
      <c r="C2076" t="s">
        <v>2041</v>
      </c>
      <c r="D2076" t="str">
        <f>"280605"</f>
        <v>280605</v>
      </c>
      <c r="E2076">
        <v>2385</v>
      </c>
      <c r="F2076">
        <v>1278</v>
      </c>
      <c r="G2076" s="1">
        <v>0.53580000000000005</v>
      </c>
      <c r="H2076">
        <v>4</v>
      </c>
      <c r="I2076">
        <v>2354</v>
      </c>
    </row>
    <row r="2077" spans="1:9" x14ac:dyDescent="0.35">
      <c r="A2077" t="s">
        <v>9</v>
      </c>
      <c r="B2077" t="s">
        <v>2006</v>
      </c>
      <c r="C2077" t="s">
        <v>2042</v>
      </c>
      <c r="D2077" t="str">
        <f>"280606"</f>
        <v>280606</v>
      </c>
      <c r="E2077">
        <v>2828</v>
      </c>
      <c r="F2077">
        <v>1475</v>
      </c>
      <c r="G2077" s="1">
        <v>0.52159999999999995</v>
      </c>
      <c r="H2077">
        <v>3</v>
      </c>
      <c r="I2077">
        <v>2810</v>
      </c>
    </row>
    <row r="2078" spans="1:9" x14ac:dyDescent="0.35">
      <c r="A2078" t="s">
        <v>9</v>
      </c>
      <c r="B2078" t="s">
        <v>2006</v>
      </c>
      <c r="C2078" t="s">
        <v>2043</v>
      </c>
      <c r="D2078" t="str">
        <f>"280608"</f>
        <v>280608</v>
      </c>
      <c r="E2078">
        <v>4246</v>
      </c>
      <c r="F2078">
        <v>2257</v>
      </c>
      <c r="G2078" s="1">
        <v>0.53159999999999996</v>
      </c>
      <c r="H2078">
        <v>7</v>
      </c>
      <c r="I2078">
        <v>4172</v>
      </c>
    </row>
    <row r="2079" spans="1:9" x14ac:dyDescent="0.35">
      <c r="A2079" t="s">
        <v>9</v>
      </c>
      <c r="B2079" t="s">
        <v>2006</v>
      </c>
      <c r="C2079" t="s">
        <v>2044</v>
      </c>
      <c r="D2079" t="str">
        <f>"280610"</f>
        <v>280610</v>
      </c>
      <c r="E2079">
        <v>4618</v>
      </c>
      <c r="F2079">
        <v>2650</v>
      </c>
      <c r="G2079" s="1">
        <v>0.57379999999999998</v>
      </c>
      <c r="H2079">
        <v>9</v>
      </c>
      <c r="I2079">
        <v>4562</v>
      </c>
    </row>
    <row r="2080" spans="1:9" x14ac:dyDescent="0.35">
      <c r="A2080" t="s">
        <v>9</v>
      </c>
      <c r="B2080" t="s">
        <v>2006</v>
      </c>
      <c r="C2080" t="s">
        <v>2045</v>
      </c>
      <c r="D2080" t="str">
        <f>"280701"</f>
        <v>280701</v>
      </c>
      <c r="E2080">
        <v>24004</v>
      </c>
      <c r="F2080">
        <v>13999</v>
      </c>
      <c r="G2080" s="1">
        <v>0.58320000000000005</v>
      </c>
      <c r="H2080">
        <v>16</v>
      </c>
      <c r="I2080">
        <v>23710</v>
      </c>
    </row>
    <row r="2081" spans="1:9" x14ac:dyDescent="0.35">
      <c r="A2081" t="s">
        <v>9</v>
      </c>
      <c r="B2081" t="s">
        <v>2006</v>
      </c>
      <c r="C2081" t="s">
        <v>2046</v>
      </c>
      <c r="D2081" t="str">
        <f>"280702"</f>
        <v>280702</v>
      </c>
      <c r="E2081">
        <v>7314</v>
      </c>
      <c r="F2081">
        <v>4083</v>
      </c>
      <c r="G2081" s="1">
        <v>0.55820000000000003</v>
      </c>
      <c r="H2081">
        <v>4</v>
      </c>
      <c r="I2081">
        <v>7304</v>
      </c>
    </row>
    <row r="2082" spans="1:9" x14ac:dyDescent="0.35">
      <c r="A2082" t="s">
        <v>9</v>
      </c>
      <c r="B2082" t="s">
        <v>2006</v>
      </c>
      <c r="C2082" t="s">
        <v>2047</v>
      </c>
      <c r="D2082" t="str">
        <f>"280703"</f>
        <v>280703</v>
      </c>
      <c r="E2082">
        <v>9748</v>
      </c>
      <c r="F2082">
        <v>5014</v>
      </c>
      <c r="G2082" s="1">
        <v>0.51439999999999997</v>
      </c>
      <c r="H2082">
        <v>13</v>
      </c>
      <c r="I2082">
        <v>9637</v>
      </c>
    </row>
    <row r="2083" spans="1:9" x14ac:dyDescent="0.35">
      <c r="A2083" t="s">
        <v>9</v>
      </c>
      <c r="B2083" t="s">
        <v>2006</v>
      </c>
      <c r="C2083" t="s">
        <v>2048</v>
      </c>
      <c r="D2083" t="str">
        <f>"280704"</f>
        <v>280704</v>
      </c>
      <c r="E2083">
        <v>4396</v>
      </c>
      <c r="F2083">
        <v>2173</v>
      </c>
      <c r="G2083" s="1">
        <v>0.49430000000000002</v>
      </c>
      <c r="H2083">
        <v>10</v>
      </c>
      <c r="I2083">
        <v>4375</v>
      </c>
    </row>
    <row r="2084" spans="1:9" x14ac:dyDescent="0.35">
      <c r="A2084" t="s">
        <v>9</v>
      </c>
      <c r="B2084" t="s">
        <v>2006</v>
      </c>
      <c r="C2084" t="s">
        <v>2049</v>
      </c>
      <c r="D2084" t="str">
        <f>"280705"</f>
        <v>280705</v>
      </c>
      <c r="E2084">
        <v>8015</v>
      </c>
      <c r="F2084">
        <v>4162</v>
      </c>
      <c r="G2084" s="1">
        <v>0.51929999999999998</v>
      </c>
      <c r="H2084">
        <v>10</v>
      </c>
      <c r="I2084">
        <v>7991</v>
      </c>
    </row>
    <row r="2085" spans="1:9" x14ac:dyDescent="0.35">
      <c r="A2085" t="s">
        <v>9</v>
      </c>
      <c r="B2085" t="s">
        <v>2006</v>
      </c>
      <c r="C2085" t="s">
        <v>2050</v>
      </c>
      <c r="D2085" t="str">
        <f>"280706"</f>
        <v>280706</v>
      </c>
      <c r="E2085">
        <v>8911</v>
      </c>
      <c r="F2085">
        <v>4469</v>
      </c>
      <c r="G2085" s="1">
        <v>0.50149999999999995</v>
      </c>
      <c r="H2085">
        <v>11</v>
      </c>
      <c r="I2085">
        <v>8893</v>
      </c>
    </row>
    <row r="2086" spans="1:9" x14ac:dyDescent="0.35">
      <c r="A2086" t="s">
        <v>9</v>
      </c>
      <c r="B2086" t="s">
        <v>2006</v>
      </c>
      <c r="C2086" t="s">
        <v>2051</v>
      </c>
      <c r="D2086" t="str">
        <f>"280707"</f>
        <v>280707</v>
      </c>
      <c r="E2086">
        <v>5035</v>
      </c>
      <c r="F2086">
        <v>2479</v>
      </c>
      <c r="G2086" s="1">
        <v>0.4924</v>
      </c>
      <c r="H2086">
        <v>4</v>
      </c>
      <c r="I2086">
        <v>5011</v>
      </c>
    </row>
    <row r="2087" spans="1:9" x14ac:dyDescent="0.35">
      <c r="A2087" t="s">
        <v>9</v>
      </c>
      <c r="B2087" t="s">
        <v>2006</v>
      </c>
      <c r="C2087" t="s">
        <v>2052</v>
      </c>
      <c r="D2087" t="str">
        <f>"280801"</f>
        <v>280801</v>
      </c>
      <c r="E2087">
        <v>19092</v>
      </c>
      <c r="F2087">
        <v>10746</v>
      </c>
      <c r="G2087" s="1">
        <v>0.56289999999999996</v>
      </c>
      <c r="H2087">
        <v>14</v>
      </c>
      <c r="I2087">
        <v>19001</v>
      </c>
    </row>
    <row r="2088" spans="1:9" x14ac:dyDescent="0.35">
      <c r="A2088" t="s">
        <v>9</v>
      </c>
      <c r="B2088" t="s">
        <v>2006</v>
      </c>
      <c r="C2088" t="s">
        <v>2053</v>
      </c>
      <c r="D2088" t="str">
        <f>"280802"</f>
        <v>280802</v>
      </c>
      <c r="E2088">
        <v>4403</v>
      </c>
      <c r="F2088">
        <v>2002</v>
      </c>
      <c r="G2088" s="1">
        <v>0.45469999999999999</v>
      </c>
      <c r="H2088">
        <v>5</v>
      </c>
      <c r="I2088">
        <v>4380</v>
      </c>
    </row>
    <row r="2089" spans="1:9" x14ac:dyDescent="0.35">
      <c r="A2089" t="s">
        <v>9</v>
      </c>
      <c r="B2089" t="s">
        <v>2006</v>
      </c>
      <c r="C2089" t="s">
        <v>2054</v>
      </c>
      <c r="D2089" t="str">
        <f>"280803"</f>
        <v>280803</v>
      </c>
      <c r="E2089">
        <v>5848</v>
      </c>
      <c r="F2089">
        <v>2862</v>
      </c>
      <c r="G2089" s="1">
        <v>0.4894</v>
      </c>
      <c r="H2089">
        <v>12</v>
      </c>
      <c r="I2089">
        <v>5803</v>
      </c>
    </row>
    <row r="2090" spans="1:9" x14ac:dyDescent="0.35">
      <c r="A2090" t="s">
        <v>9</v>
      </c>
      <c r="B2090" t="s">
        <v>2006</v>
      </c>
      <c r="C2090" t="s">
        <v>2055</v>
      </c>
      <c r="D2090" t="str">
        <f>"280804"</f>
        <v>280804</v>
      </c>
      <c r="E2090">
        <v>6903</v>
      </c>
      <c r="F2090">
        <v>3067</v>
      </c>
      <c r="G2090" s="1">
        <v>0.44429999999999997</v>
      </c>
      <c r="H2090">
        <v>9</v>
      </c>
      <c r="I2090">
        <v>6893</v>
      </c>
    </row>
    <row r="2091" spans="1:9" x14ac:dyDescent="0.35">
      <c r="A2091" t="s">
        <v>9</v>
      </c>
      <c r="B2091" t="s">
        <v>2006</v>
      </c>
      <c r="C2091" t="s">
        <v>2056</v>
      </c>
      <c r="D2091" t="str">
        <f>"280805"</f>
        <v>280805</v>
      </c>
      <c r="E2091">
        <v>5483</v>
      </c>
      <c r="F2091">
        <v>2853</v>
      </c>
      <c r="G2091" s="1">
        <v>0.52029999999999998</v>
      </c>
      <c r="H2091">
        <v>10</v>
      </c>
      <c r="I2091">
        <v>5418</v>
      </c>
    </row>
    <row r="2092" spans="1:9" x14ac:dyDescent="0.35">
      <c r="A2092" t="s">
        <v>9</v>
      </c>
      <c r="B2092" t="s">
        <v>2006</v>
      </c>
      <c r="C2092" t="s">
        <v>2057</v>
      </c>
      <c r="D2092" t="str">
        <f>"280806"</f>
        <v>280806</v>
      </c>
      <c r="E2092">
        <v>2830</v>
      </c>
      <c r="F2092">
        <v>1386</v>
      </c>
      <c r="G2092" s="1">
        <v>0.48980000000000001</v>
      </c>
      <c r="H2092">
        <v>5</v>
      </c>
      <c r="I2092">
        <v>2794</v>
      </c>
    </row>
    <row r="2093" spans="1:9" x14ac:dyDescent="0.35">
      <c r="A2093" t="s">
        <v>9</v>
      </c>
      <c r="B2093" t="s">
        <v>2006</v>
      </c>
      <c r="C2093" t="s">
        <v>2058</v>
      </c>
      <c r="D2093" t="str">
        <f>"280901"</f>
        <v>280901</v>
      </c>
      <c r="E2093">
        <v>10980</v>
      </c>
      <c r="F2093">
        <v>6368</v>
      </c>
      <c r="G2093" s="1">
        <v>0.57999999999999996</v>
      </c>
      <c r="H2093">
        <v>10</v>
      </c>
      <c r="I2093">
        <v>10872</v>
      </c>
    </row>
    <row r="2094" spans="1:9" x14ac:dyDescent="0.35">
      <c r="A2094" t="s">
        <v>9</v>
      </c>
      <c r="B2094" t="s">
        <v>2006</v>
      </c>
      <c r="C2094" t="s">
        <v>2059</v>
      </c>
      <c r="D2094" t="str">
        <f>"280902"</f>
        <v>280902</v>
      </c>
      <c r="E2094">
        <v>2428</v>
      </c>
      <c r="F2094">
        <v>1287</v>
      </c>
      <c r="G2094" s="1">
        <v>0.53010000000000002</v>
      </c>
      <c r="H2094">
        <v>7</v>
      </c>
      <c r="I2094">
        <v>2428</v>
      </c>
    </row>
    <row r="2095" spans="1:9" x14ac:dyDescent="0.35">
      <c r="A2095" t="s">
        <v>9</v>
      </c>
      <c r="B2095" t="s">
        <v>2006</v>
      </c>
      <c r="C2095" t="s">
        <v>2060</v>
      </c>
      <c r="D2095" t="str">
        <f>"280903"</f>
        <v>280903</v>
      </c>
      <c r="E2095">
        <v>4961</v>
      </c>
      <c r="F2095">
        <v>2524</v>
      </c>
      <c r="G2095" s="1">
        <v>0.50880000000000003</v>
      </c>
      <c r="H2095">
        <v>10</v>
      </c>
      <c r="I2095">
        <v>4899</v>
      </c>
    </row>
    <row r="2096" spans="1:9" x14ac:dyDescent="0.35">
      <c r="A2096" t="s">
        <v>9</v>
      </c>
      <c r="B2096" t="s">
        <v>2006</v>
      </c>
      <c r="C2096" t="s">
        <v>2061</v>
      </c>
      <c r="D2096" t="str">
        <f>"280904"</f>
        <v>280904</v>
      </c>
      <c r="E2096">
        <v>2623</v>
      </c>
      <c r="F2096">
        <v>1277</v>
      </c>
      <c r="G2096" s="1">
        <v>0.48680000000000001</v>
      </c>
      <c r="H2096">
        <v>4</v>
      </c>
      <c r="I2096">
        <v>2609</v>
      </c>
    </row>
    <row r="2097" spans="1:9" x14ac:dyDescent="0.35">
      <c r="A2097" t="s">
        <v>9</v>
      </c>
      <c r="B2097" t="s">
        <v>2006</v>
      </c>
      <c r="C2097" t="s">
        <v>2062</v>
      </c>
      <c r="D2097" t="str">
        <f>"280905"</f>
        <v>280905</v>
      </c>
      <c r="E2097">
        <v>8203</v>
      </c>
      <c r="F2097">
        <v>4242</v>
      </c>
      <c r="G2097" s="1">
        <v>0.5171</v>
      </c>
      <c r="H2097">
        <v>9</v>
      </c>
      <c r="I2097">
        <v>8342</v>
      </c>
    </row>
    <row r="2098" spans="1:9" x14ac:dyDescent="0.35">
      <c r="A2098" t="s">
        <v>9</v>
      </c>
      <c r="B2098" t="s">
        <v>2006</v>
      </c>
      <c r="C2098" t="s">
        <v>2063</v>
      </c>
      <c r="D2098" t="str">
        <f>"281001"</f>
        <v>281001</v>
      </c>
      <c r="E2098">
        <v>15324</v>
      </c>
      <c r="F2098">
        <v>8634</v>
      </c>
      <c r="G2098" s="1">
        <v>0.56340000000000001</v>
      </c>
      <c r="H2098">
        <v>12</v>
      </c>
      <c r="I2098">
        <v>15248</v>
      </c>
    </row>
    <row r="2099" spans="1:9" x14ac:dyDescent="0.35">
      <c r="A2099" t="s">
        <v>9</v>
      </c>
      <c r="B2099" t="s">
        <v>2006</v>
      </c>
      <c r="C2099" t="s">
        <v>2064</v>
      </c>
      <c r="D2099" t="str">
        <f>"281002"</f>
        <v>281002</v>
      </c>
      <c r="E2099">
        <v>5822</v>
      </c>
      <c r="F2099">
        <v>3130</v>
      </c>
      <c r="G2099" s="1">
        <v>0.53759999999999997</v>
      </c>
      <c r="H2099">
        <v>6</v>
      </c>
      <c r="I2099">
        <v>5665</v>
      </c>
    </row>
    <row r="2100" spans="1:9" x14ac:dyDescent="0.35">
      <c r="A2100" t="s">
        <v>9</v>
      </c>
      <c r="B2100" t="s">
        <v>2006</v>
      </c>
      <c r="C2100" t="s">
        <v>2065</v>
      </c>
      <c r="D2100" t="str">
        <f>"281003"</f>
        <v>281003</v>
      </c>
      <c r="E2100">
        <v>6095</v>
      </c>
      <c r="F2100">
        <v>3439</v>
      </c>
      <c r="G2100" s="1">
        <v>0.56420000000000003</v>
      </c>
      <c r="H2100">
        <v>12</v>
      </c>
      <c r="I2100">
        <v>5999</v>
      </c>
    </row>
    <row r="2101" spans="1:9" x14ac:dyDescent="0.35">
      <c r="A2101" t="s">
        <v>9</v>
      </c>
      <c r="B2101" t="s">
        <v>2006</v>
      </c>
      <c r="C2101" t="s">
        <v>2066</v>
      </c>
      <c r="D2101" t="str">
        <f>"281004"</f>
        <v>281004</v>
      </c>
      <c r="E2101">
        <v>5702</v>
      </c>
      <c r="F2101">
        <v>2842</v>
      </c>
      <c r="G2101" s="1">
        <v>0.49840000000000001</v>
      </c>
      <c r="H2101">
        <v>11</v>
      </c>
      <c r="I2101">
        <v>5613</v>
      </c>
    </row>
    <row r="2102" spans="1:9" x14ac:dyDescent="0.35">
      <c r="A2102" t="s">
        <v>9</v>
      </c>
      <c r="B2102" t="s">
        <v>2006</v>
      </c>
      <c r="C2102" t="s">
        <v>2067</v>
      </c>
      <c r="D2102" t="str">
        <f>"281005"</f>
        <v>281005</v>
      </c>
      <c r="E2102">
        <v>3370</v>
      </c>
      <c r="F2102">
        <v>1788</v>
      </c>
      <c r="G2102" s="1">
        <v>0.53059999999999996</v>
      </c>
      <c r="H2102">
        <v>5</v>
      </c>
      <c r="I2102">
        <v>3341</v>
      </c>
    </row>
    <row r="2103" spans="1:9" x14ac:dyDescent="0.35">
      <c r="A2103" t="s">
        <v>9</v>
      </c>
      <c r="B2103" t="s">
        <v>2006</v>
      </c>
      <c r="C2103" t="s">
        <v>2068</v>
      </c>
      <c r="D2103" t="str">
        <f>"281101"</f>
        <v>281101</v>
      </c>
      <c r="E2103">
        <v>2378</v>
      </c>
      <c r="F2103">
        <v>1300</v>
      </c>
      <c r="G2103" s="1">
        <v>0.54669999999999996</v>
      </c>
      <c r="H2103">
        <v>5</v>
      </c>
      <c r="I2103">
        <v>2368</v>
      </c>
    </row>
    <row r="2104" spans="1:9" x14ac:dyDescent="0.35">
      <c r="A2104" t="s">
        <v>9</v>
      </c>
      <c r="B2104" t="s">
        <v>2006</v>
      </c>
      <c r="C2104" t="s">
        <v>2069</v>
      </c>
      <c r="D2104" t="str">
        <f>"281102"</f>
        <v>281102</v>
      </c>
      <c r="E2104">
        <v>1953</v>
      </c>
      <c r="F2104">
        <v>995</v>
      </c>
      <c r="G2104" s="1">
        <v>0.50949999999999995</v>
      </c>
      <c r="H2104">
        <v>4</v>
      </c>
      <c r="I2104">
        <v>1940</v>
      </c>
    </row>
    <row r="2105" spans="1:9" x14ac:dyDescent="0.35">
      <c r="A2105" t="s">
        <v>9</v>
      </c>
      <c r="B2105" t="s">
        <v>2006</v>
      </c>
      <c r="C2105" t="s">
        <v>2070</v>
      </c>
      <c r="D2105" t="str">
        <f>"281103"</f>
        <v>281103</v>
      </c>
      <c r="E2105">
        <v>4299</v>
      </c>
      <c r="F2105">
        <v>2044</v>
      </c>
      <c r="G2105" s="1">
        <v>0.47549999999999998</v>
      </c>
      <c r="H2105">
        <v>9</v>
      </c>
      <c r="I2105">
        <v>4270</v>
      </c>
    </row>
    <row r="2106" spans="1:9" x14ac:dyDescent="0.35">
      <c r="A2106" t="s">
        <v>9</v>
      </c>
      <c r="B2106" t="s">
        <v>2006</v>
      </c>
      <c r="C2106" t="s">
        <v>2071</v>
      </c>
      <c r="D2106" t="str">
        <f>"281104"</f>
        <v>281104</v>
      </c>
      <c r="E2106">
        <v>15244</v>
      </c>
      <c r="F2106">
        <v>8363</v>
      </c>
      <c r="G2106" s="1">
        <v>0.54859999999999998</v>
      </c>
      <c r="H2106">
        <v>18</v>
      </c>
      <c r="I2106">
        <v>15115</v>
      </c>
    </row>
    <row r="2107" spans="1:9" x14ac:dyDescent="0.35">
      <c r="A2107" t="s">
        <v>9</v>
      </c>
      <c r="B2107" t="s">
        <v>2006</v>
      </c>
      <c r="C2107" t="s">
        <v>2072</v>
      </c>
      <c r="D2107" t="str">
        <f>"281201"</f>
        <v>281201</v>
      </c>
      <c r="E2107">
        <v>7616</v>
      </c>
      <c r="F2107">
        <v>4297</v>
      </c>
      <c r="G2107" s="1">
        <v>0.56420000000000003</v>
      </c>
      <c r="H2107">
        <v>6</v>
      </c>
      <c r="I2107">
        <v>7545</v>
      </c>
    </row>
    <row r="2108" spans="1:9" x14ac:dyDescent="0.35">
      <c r="A2108" t="s">
        <v>9</v>
      </c>
      <c r="B2108" t="s">
        <v>2006</v>
      </c>
      <c r="C2108" t="s">
        <v>2073</v>
      </c>
      <c r="D2108" t="str">
        <f>"281202"</f>
        <v>281202</v>
      </c>
      <c r="E2108">
        <v>6903</v>
      </c>
      <c r="F2108">
        <v>3696</v>
      </c>
      <c r="G2108" s="1">
        <v>0.53539999999999999</v>
      </c>
      <c r="H2108">
        <v>13</v>
      </c>
      <c r="I2108">
        <v>6893</v>
      </c>
    </row>
    <row r="2109" spans="1:9" x14ac:dyDescent="0.35">
      <c r="A2109" t="s">
        <v>9</v>
      </c>
      <c r="B2109" t="s">
        <v>2006</v>
      </c>
      <c r="C2109" t="s">
        <v>2074</v>
      </c>
      <c r="D2109" t="str">
        <f>"281203"</f>
        <v>281203</v>
      </c>
      <c r="E2109">
        <v>4621</v>
      </c>
      <c r="F2109">
        <v>2537</v>
      </c>
      <c r="G2109" s="1">
        <v>0.54900000000000004</v>
      </c>
      <c r="H2109">
        <v>12</v>
      </c>
      <c r="I2109">
        <v>4609</v>
      </c>
    </row>
    <row r="2110" spans="1:9" x14ac:dyDescent="0.35">
      <c r="A2110" t="s">
        <v>9</v>
      </c>
      <c r="B2110" t="s">
        <v>2006</v>
      </c>
      <c r="C2110" t="s">
        <v>2075</v>
      </c>
      <c r="D2110" t="str">
        <f>"281204"</f>
        <v>281204</v>
      </c>
      <c r="E2110">
        <v>6780</v>
      </c>
      <c r="F2110">
        <v>3992</v>
      </c>
      <c r="G2110" s="1">
        <v>0.58879999999999999</v>
      </c>
      <c r="H2110">
        <v>13</v>
      </c>
      <c r="I2110">
        <v>6750</v>
      </c>
    </row>
    <row r="2111" spans="1:9" x14ac:dyDescent="0.35">
      <c r="A2111" t="s">
        <v>9</v>
      </c>
      <c r="B2111" t="s">
        <v>2006</v>
      </c>
      <c r="C2111" t="s">
        <v>2076</v>
      </c>
      <c r="D2111" t="str">
        <f>"281205"</f>
        <v>281205</v>
      </c>
      <c r="E2111">
        <v>6149</v>
      </c>
      <c r="F2111">
        <v>3236</v>
      </c>
      <c r="G2111" s="1">
        <v>0.52629999999999999</v>
      </c>
      <c r="H2111">
        <v>13</v>
      </c>
      <c r="I2111">
        <v>6111</v>
      </c>
    </row>
    <row r="2112" spans="1:9" x14ac:dyDescent="0.35">
      <c r="A2112" t="s">
        <v>9</v>
      </c>
      <c r="B2112" t="s">
        <v>2006</v>
      </c>
      <c r="C2112" t="s">
        <v>2077</v>
      </c>
      <c r="D2112" t="str">
        <f>"281303"</f>
        <v>281303</v>
      </c>
      <c r="E2112">
        <v>3513</v>
      </c>
      <c r="F2112">
        <v>1478</v>
      </c>
      <c r="G2112" s="1">
        <v>0.42070000000000002</v>
      </c>
      <c r="H2112">
        <v>5</v>
      </c>
      <c r="I2112">
        <v>3499</v>
      </c>
    </row>
    <row r="2113" spans="1:9" x14ac:dyDescent="0.35">
      <c r="A2113" t="s">
        <v>9</v>
      </c>
      <c r="B2113" t="s">
        <v>2006</v>
      </c>
      <c r="C2113" t="s">
        <v>2078</v>
      </c>
      <c r="D2113" t="str">
        <f>"281304"</f>
        <v>281304</v>
      </c>
      <c r="E2113">
        <v>15052</v>
      </c>
      <c r="F2113">
        <v>8089</v>
      </c>
      <c r="G2113" s="1">
        <v>0.53739999999999999</v>
      </c>
      <c r="H2113">
        <v>15</v>
      </c>
      <c r="I2113">
        <v>15010</v>
      </c>
    </row>
    <row r="2114" spans="1:9" x14ac:dyDescent="0.35">
      <c r="A2114" t="s">
        <v>9</v>
      </c>
      <c r="B2114" t="s">
        <v>2006</v>
      </c>
      <c r="C2114" t="s">
        <v>2079</v>
      </c>
      <c r="D2114" t="str">
        <f>"281305"</f>
        <v>281305</v>
      </c>
      <c r="E2114">
        <v>2753</v>
      </c>
      <c r="F2114">
        <v>1294</v>
      </c>
      <c r="G2114" s="1">
        <v>0.47</v>
      </c>
      <c r="H2114">
        <v>5</v>
      </c>
      <c r="I2114">
        <v>2715</v>
      </c>
    </row>
    <row r="2115" spans="1:9" x14ac:dyDescent="0.35">
      <c r="A2115" t="s">
        <v>9</v>
      </c>
      <c r="B2115" t="s">
        <v>2006</v>
      </c>
      <c r="C2115" t="s">
        <v>2080</v>
      </c>
      <c r="D2115" t="str">
        <f>"281306"</f>
        <v>281306</v>
      </c>
      <c r="E2115">
        <v>2357</v>
      </c>
      <c r="F2115">
        <v>1213</v>
      </c>
      <c r="G2115" s="1">
        <v>0.51459999999999995</v>
      </c>
      <c r="H2115">
        <v>5</v>
      </c>
      <c r="I2115">
        <v>2355</v>
      </c>
    </row>
    <row r="2116" spans="1:9" x14ac:dyDescent="0.35">
      <c r="A2116" t="s">
        <v>9</v>
      </c>
      <c r="B2116" t="s">
        <v>2006</v>
      </c>
      <c r="C2116" t="s">
        <v>2081</v>
      </c>
      <c r="D2116" t="str">
        <f>"281401"</f>
        <v>281401</v>
      </c>
      <c r="E2116">
        <v>13102</v>
      </c>
      <c r="F2116">
        <v>7334</v>
      </c>
      <c r="G2116" s="1">
        <v>0.55979999999999996</v>
      </c>
      <c r="H2116">
        <v>19</v>
      </c>
      <c r="I2116">
        <v>12992</v>
      </c>
    </row>
    <row r="2117" spans="1:9" x14ac:dyDescent="0.35">
      <c r="A2117" t="s">
        <v>9</v>
      </c>
      <c r="B2117" t="s">
        <v>2006</v>
      </c>
      <c r="C2117" t="s">
        <v>2073</v>
      </c>
      <c r="D2117" t="str">
        <f>"281402"</f>
        <v>281402</v>
      </c>
      <c r="E2117">
        <v>13697</v>
      </c>
      <c r="F2117">
        <v>6999</v>
      </c>
      <c r="G2117" s="1">
        <v>0.51100000000000001</v>
      </c>
      <c r="H2117">
        <v>26</v>
      </c>
      <c r="I2117">
        <v>13605</v>
      </c>
    </row>
    <row r="2118" spans="1:9" x14ac:dyDescent="0.35">
      <c r="A2118" t="s">
        <v>9</v>
      </c>
      <c r="B2118" t="s">
        <v>2006</v>
      </c>
      <c r="C2118" t="s">
        <v>2082</v>
      </c>
      <c r="D2118" t="str">
        <f>"281403"</f>
        <v>281403</v>
      </c>
      <c r="E2118">
        <v>11423</v>
      </c>
      <c r="F2118">
        <v>6220</v>
      </c>
      <c r="G2118" s="1">
        <v>0.54449999999999998</v>
      </c>
      <c r="H2118">
        <v>16</v>
      </c>
      <c r="I2118">
        <v>11316</v>
      </c>
    </row>
    <row r="2119" spans="1:9" x14ac:dyDescent="0.35">
      <c r="A2119" t="s">
        <v>9</v>
      </c>
      <c r="B2119" t="s">
        <v>2006</v>
      </c>
      <c r="C2119" t="s">
        <v>2083</v>
      </c>
      <c r="D2119" t="str">
        <f>"281404"</f>
        <v>281404</v>
      </c>
      <c r="E2119">
        <v>9909</v>
      </c>
      <c r="F2119">
        <v>6146</v>
      </c>
      <c r="G2119" s="1">
        <v>0.62019999999999997</v>
      </c>
      <c r="H2119">
        <v>16</v>
      </c>
      <c r="I2119">
        <v>9858</v>
      </c>
    </row>
    <row r="2120" spans="1:9" x14ac:dyDescent="0.35">
      <c r="A2120" t="s">
        <v>9</v>
      </c>
      <c r="B2120" t="s">
        <v>2006</v>
      </c>
      <c r="C2120" t="s">
        <v>2084</v>
      </c>
      <c r="D2120" t="str">
        <f>"281405"</f>
        <v>281405</v>
      </c>
      <c r="E2120">
        <v>5194</v>
      </c>
      <c r="F2120">
        <v>3045</v>
      </c>
      <c r="G2120" s="1">
        <v>0.58630000000000004</v>
      </c>
      <c r="H2120">
        <v>5</v>
      </c>
      <c r="I2120">
        <v>5073</v>
      </c>
    </row>
    <row r="2121" spans="1:9" x14ac:dyDescent="0.35">
      <c r="A2121" t="s">
        <v>9</v>
      </c>
      <c r="B2121" t="s">
        <v>2006</v>
      </c>
      <c r="C2121" t="s">
        <v>2085</v>
      </c>
      <c r="D2121" t="str">
        <f>"281406"</f>
        <v>281406</v>
      </c>
      <c r="E2121">
        <v>5525</v>
      </c>
      <c r="F2121">
        <v>2678</v>
      </c>
      <c r="G2121" s="1">
        <v>0.48470000000000002</v>
      </c>
      <c r="H2121">
        <v>9</v>
      </c>
      <c r="I2121">
        <v>5491</v>
      </c>
    </row>
    <row r="2122" spans="1:9" x14ac:dyDescent="0.35">
      <c r="A2122" t="s">
        <v>9</v>
      </c>
      <c r="B2122" t="s">
        <v>2006</v>
      </c>
      <c r="C2122" t="s">
        <v>2086</v>
      </c>
      <c r="D2122" t="str">
        <f>"281407"</f>
        <v>281407</v>
      </c>
      <c r="E2122">
        <v>5760</v>
      </c>
      <c r="F2122">
        <v>3276</v>
      </c>
      <c r="G2122" s="1">
        <v>0.56879999999999997</v>
      </c>
      <c r="H2122">
        <v>5</v>
      </c>
      <c r="I2122">
        <v>5719</v>
      </c>
    </row>
    <row r="2123" spans="1:9" x14ac:dyDescent="0.35">
      <c r="A2123" t="s">
        <v>9</v>
      </c>
      <c r="B2123" t="s">
        <v>2006</v>
      </c>
      <c r="C2123" t="s">
        <v>1557</v>
      </c>
      <c r="D2123" t="str">
        <f>"281408"</f>
        <v>281408</v>
      </c>
      <c r="E2123">
        <v>2293</v>
      </c>
      <c r="F2123">
        <v>1067</v>
      </c>
      <c r="G2123" s="1">
        <v>0.46529999999999999</v>
      </c>
      <c r="H2123">
        <v>3</v>
      </c>
      <c r="I2123">
        <v>2282</v>
      </c>
    </row>
    <row r="2124" spans="1:9" x14ac:dyDescent="0.35">
      <c r="A2124" t="s">
        <v>9</v>
      </c>
      <c r="B2124" t="s">
        <v>2006</v>
      </c>
      <c r="C2124" t="s">
        <v>2087</v>
      </c>
      <c r="D2124" t="str">
        <f>"281409"</f>
        <v>281409</v>
      </c>
      <c r="E2124">
        <v>10047</v>
      </c>
      <c r="F2124">
        <v>5273</v>
      </c>
      <c r="G2124" s="1">
        <v>0.52480000000000004</v>
      </c>
      <c r="H2124">
        <v>20</v>
      </c>
      <c r="I2124">
        <v>9930</v>
      </c>
    </row>
    <row r="2125" spans="1:9" x14ac:dyDescent="0.35">
      <c r="A2125" t="s">
        <v>9</v>
      </c>
      <c r="B2125" t="s">
        <v>2006</v>
      </c>
      <c r="C2125" t="s">
        <v>2088</v>
      </c>
      <c r="D2125" t="str">
        <f>"281410"</f>
        <v>281410</v>
      </c>
      <c r="E2125">
        <v>6768</v>
      </c>
      <c r="F2125">
        <v>3641</v>
      </c>
      <c r="G2125" s="1">
        <v>0.53800000000000003</v>
      </c>
      <c r="H2125">
        <v>6</v>
      </c>
      <c r="I2125">
        <v>6676</v>
      </c>
    </row>
    <row r="2126" spans="1:9" x14ac:dyDescent="0.35">
      <c r="A2126" t="s">
        <v>9</v>
      </c>
      <c r="B2126" t="s">
        <v>2006</v>
      </c>
      <c r="C2126" t="s">
        <v>2089</v>
      </c>
      <c r="D2126" t="str">
        <f>"281411"</f>
        <v>281411</v>
      </c>
      <c r="E2126">
        <v>9816</v>
      </c>
      <c r="F2126">
        <v>6002</v>
      </c>
      <c r="G2126" s="1">
        <v>0.61150000000000004</v>
      </c>
      <c r="H2126">
        <v>9</v>
      </c>
      <c r="I2126">
        <v>9552</v>
      </c>
    </row>
    <row r="2127" spans="1:9" x14ac:dyDescent="0.35">
      <c r="A2127" t="s">
        <v>9</v>
      </c>
      <c r="B2127" t="s">
        <v>2006</v>
      </c>
      <c r="C2127" t="s">
        <v>2090</v>
      </c>
      <c r="D2127" t="str">
        <f>"281412"</f>
        <v>281412</v>
      </c>
      <c r="E2127">
        <v>2895</v>
      </c>
      <c r="F2127">
        <v>1341</v>
      </c>
      <c r="G2127" s="1">
        <v>0.4632</v>
      </c>
      <c r="H2127">
        <v>6</v>
      </c>
      <c r="I2127">
        <v>2891</v>
      </c>
    </row>
    <row r="2128" spans="1:9" x14ac:dyDescent="0.35">
      <c r="A2128" t="s">
        <v>9</v>
      </c>
      <c r="B2128" t="s">
        <v>2006</v>
      </c>
      <c r="C2128" t="s">
        <v>2091</v>
      </c>
      <c r="D2128" t="str">
        <f>"281501"</f>
        <v>281501</v>
      </c>
      <c r="E2128">
        <v>23564</v>
      </c>
      <c r="F2128">
        <v>14024</v>
      </c>
      <c r="G2128" s="1">
        <v>0.59509999999999996</v>
      </c>
      <c r="H2128">
        <v>18</v>
      </c>
      <c r="I2128">
        <v>23397</v>
      </c>
    </row>
    <row r="2129" spans="1:9" x14ac:dyDescent="0.35">
      <c r="A2129" t="s">
        <v>9</v>
      </c>
      <c r="B2129" t="s">
        <v>2006</v>
      </c>
      <c r="C2129" t="s">
        <v>2092</v>
      </c>
      <c r="D2129" t="str">
        <f>"281502"</f>
        <v>281502</v>
      </c>
      <c r="E2129">
        <v>3100</v>
      </c>
      <c r="F2129">
        <v>1583</v>
      </c>
      <c r="G2129" s="1">
        <v>0.51060000000000005</v>
      </c>
      <c r="H2129">
        <v>5</v>
      </c>
      <c r="I2129">
        <v>3080</v>
      </c>
    </row>
    <row r="2130" spans="1:9" x14ac:dyDescent="0.35">
      <c r="A2130" t="s">
        <v>9</v>
      </c>
      <c r="B2130" t="s">
        <v>2006</v>
      </c>
      <c r="C2130" t="s">
        <v>2093</v>
      </c>
      <c r="D2130" t="str">
        <f>"281503"</f>
        <v>281503</v>
      </c>
      <c r="E2130">
        <v>4013</v>
      </c>
      <c r="F2130">
        <v>1929</v>
      </c>
      <c r="G2130" s="1">
        <v>0.48070000000000002</v>
      </c>
      <c r="H2130">
        <v>6</v>
      </c>
      <c r="I2130">
        <v>3993</v>
      </c>
    </row>
    <row r="2131" spans="1:9" x14ac:dyDescent="0.35">
      <c r="A2131" t="s">
        <v>9</v>
      </c>
      <c r="B2131" t="s">
        <v>2006</v>
      </c>
      <c r="C2131" t="s">
        <v>2094</v>
      </c>
      <c r="D2131" t="str">
        <f>"281504"</f>
        <v>281504</v>
      </c>
      <c r="E2131">
        <v>3457</v>
      </c>
      <c r="F2131">
        <v>1801</v>
      </c>
      <c r="G2131" s="1">
        <v>0.52100000000000002</v>
      </c>
      <c r="H2131">
        <v>6</v>
      </c>
      <c r="I2131">
        <v>3411</v>
      </c>
    </row>
    <row r="2132" spans="1:9" x14ac:dyDescent="0.35">
      <c r="A2132" t="s">
        <v>9</v>
      </c>
      <c r="B2132" t="s">
        <v>2006</v>
      </c>
      <c r="C2132" t="s">
        <v>2095</v>
      </c>
      <c r="D2132" t="str">
        <f>"281505"</f>
        <v>281505</v>
      </c>
      <c r="E2132">
        <v>4521</v>
      </c>
      <c r="F2132">
        <v>2110</v>
      </c>
      <c r="G2132" s="1">
        <v>0.4667</v>
      </c>
      <c r="H2132">
        <v>4</v>
      </c>
      <c r="I2132">
        <v>4485</v>
      </c>
    </row>
    <row r="2133" spans="1:9" x14ac:dyDescent="0.35">
      <c r="A2133" t="s">
        <v>9</v>
      </c>
      <c r="B2133" t="s">
        <v>2006</v>
      </c>
      <c r="C2133" t="s">
        <v>2096</v>
      </c>
      <c r="D2133" t="str">
        <f>"281506"</f>
        <v>281506</v>
      </c>
      <c r="E2133">
        <v>3985</v>
      </c>
      <c r="F2133">
        <v>1840</v>
      </c>
      <c r="G2133" s="1">
        <v>0.4617</v>
      </c>
      <c r="H2133">
        <v>5</v>
      </c>
      <c r="I2133">
        <v>3964</v>
      </c>
    </row>
    <row r="2134" spans="1:9" x14ac:dyDescent="0.35">
      <c r="A2134" t="s">
        <v>9</v>
      </c>
      <c r="B2134" t="s">
        <v>2006</v>
      </c>
      <c r="C2134" t="s">
        <v>2097</v>
      </c>
      <c r="D2134" t="str">
        <f>"281507"</f>
        <v>281507</v>
      </c>
      <c r="E2134">
        <v>3802</v>
      </c>
      <c r="F2134">
        <v>1988</v>
      </c>
      <c r="G2134" s="1">
        <v>0.52290000000000003</v>
      </c>
      <c r="H2134">
        <v>5</v>
      </c>
      <c r="I2134">
        <v>3749</v>
      </c>
    </row>
    <row r="2135" spans="1:9" x14ac:dyDescent="0.35">
      <c r="A2135" t="s">
        <v>9</v>
      </c>
      <c r="B2135" t="s">
        <v>2006</v>
      </c>
      <c r="C2135" t="s">
        <v>2098</v>
      </c>
      <c r="D2135" t="str">
        <f>"281508"</f>
        <v>281508</v>
      </c>
      <c r="E2135">
        <v>17587</v>
      </c>
      <c r="F2135">
        <v>9551</v>
      </c>
      <c r="G2135" s="1">
        <v>0.54310000000000003</v>
      </c>
      <c r="H2135">
        <v>28</v>
      </c>
      <c r="I2135">
        <v>17478</v>
      </c>
    </row>
    <row r="2136" spans="1:9" x14ac:dyDescent="0.35">
      <c r="A2136" t="s">
        <v>9</v>
      </c>
      <c r="B2136" t="s">
        <v>2006</v>
      </c>
      <c r="C2136" t="s">
        <v>2099</v>
      </c>
      <c r="D2136" t="str">
        <f>"281509"</f>
        <v>281509</v>
      </c>
      <c r="E2136">
        <v>12039</v>
      </c>
      <c r="F2136">
        <v>6635</v>
      </c>
      <c r="G2136" s="1">
        <v>0.55110000000000003</v>
      </c>
      <c r="H2136">
        <v>21</v>
      </c>
      <c r="I2136">
        <v>11924</v>
      </c>
    </row>
    <row r="2137" spans="1:9" x14ac:dyDescent="0.35">
      <c r="A2137" t="s">
        <v>9</v>
      </c>
      <c r="B2137" t="s">
        <v>2006</v>
      </c>
      <c r="C2137" t="s">
        <v>2100</v>
      </c>
      <c r="D2137" t="str">
        <f>"281601"</f>
        <v>281601</v>
      </c>
      <c r="E2137">
        <v>8189</v>
      </c>
      <c r="F2137">
        <v>3834</v>
      </c>
      <c r="G2137" s="1">
        <v>0.46820000000000001</v>
      </c>
      <c r="H2137">
        <v>11</v>
      </c>
      <c r="I2137">
        <v>8126</v>
      </c>
    </row>
    <row r="2138" spans="1:9" x14ac:dyDescent="0.35">
      <c r="A2138" t="s">
        <v>9</v>
      </c>
      <c r="B2138" t="s">
        <v>2006</v>
      </c>
      <c r="C2138" t="s">
        <v>2101</v>
      </c>
      <c r="D2138" t="str">
        <f>"281602"</f>
        <v>281602</v>
      </c>
      <c r="E2138">
        <v>6656</v>
      </c>
      <c r="F2138">
        <v>3557</v>
      </c>
      <c r="G2138" s="1">
        <v>0.53439999999999999</v>
      </c>
      <c r="H2138">
        <v>8</v>
      </c>
      <c r="I2138">
        <v>6548</v>
      </c>
    </row>
    <row r="2139" spans="1:9" x14ac:dyDescent="0.35">
      <c r="A2139" t="s">
        <v>9</v>
      </c>
      <c r="B2139" t="s">
        <v>2006</v>
      </c>
      <c r="C2139" t="s">
        <v>2102</v>
      </c>
      <c r="D2139" t="str">
        <f>"281603"</f>
        <v>281603</v>
      </c>
      <c r="E2139">
        <v>19753</v>
      </c>
      <c r="F2139">
        <v>10461</v>
      </c>
      <c r="G2139" s="1">
        <v>0.52959999999999996</v>
      </c>
      <c r="H2139">
        <v>17</v>
      </c>
      <c r="I2139">
        <v>19601</v>
      </c>
    </row>
    <row r="2140" spans="1:9" x14ac:dyDescent="0.35">
      <c r="A2140" t="s">
        <v>9</v>
      </c>
      <c r="B2140" t="s">
        <v>2006</v>
      </c>
      <c r="C2140" t="s">
        <v>2103</v>
      </c>
      <c r="D2140" t="str">
        <f>"281604"</f>
        <v>281604</v>
      </c>
      <c r="E2140">
        <v>6049</v>
      </c>
      <c r="F2140">
        <v>3418</v>
      </c>
      <c r="G2140" s="1">
        <v>0.56510000000000005</v>
      </c>
      <c r="H2140">
        <v>8</v>
      </c>
      <c r="I2140">
        <v>5853</v>
      </c>
    </row>
    <row r="2141" spans="1:9" x14ac:dyDescent="0.35">
      <c r="A2141" t="s">
        <v>9</v>
      </c>
      <c r="B2141" t="s">
        <v>2006</v>
      </c>
      <c r="C2141" t="s">
        <v>2104</v>
      </c>
      <c r="D2141" t="str">
        <f>"281701"</f>
        <v>281701</v>
      </c>
      <c r="E2141">
        <v>16863</v>
      </c>
      <c r="F2141">
        <v>9918</v>
      </c>
      <c r="G2141" s="1">
        <v>0.58819999999999995</v>
      </c>
      <c r="H2141">
        <v>17</v>
      </c>
      <c r="I2141">
        <v>16649</v>
      </c>
    </row>
    <row r="2142" spans="1:9" x14ac:dyDescent="0.35">
      <c r="A2142" t="s">
        <v>9</v>
      </c>
      <c r="B2142" t="s">
        <v>2006</v>
      </c>
      <c r="C2142" t="s">
        <v>2105</v>
      </c>
      <c r="D2142" t="str">
        <f>"281702"</f>
        <v>281702</v>
      </c>
      <c r="E2142">
        <v>4918</v>
      </c>
      <c r="F2142">
        <v>2439</v>
      </c>
      <c r="G2142" s="1">
        <v>0.49590000000000001</v>
      </c>
      <c r="H2142">
        <v>7</v>
      </c>
      <c r="I2142">
        <v>4852</v>
      </c>
    </row>
    <row r="2143" spans="1:9" x14ac:dyDescent="0.35">
      <c r="A2143" t="s">
        <v>9</v>
      </c>
      <c r="B2143" t="s">
        <v>2006</v>
      </c>
      <c r="C2143" t="s">
        <v>2106</v>
      </c>
      <c r="D2143" t="str">
        <f>"281703"</f>
        <v>281703</v>
      </c>
      <c r="E2143">
        <v>2961</v>
      </c>
      <c r="F2143">
        <v>1624</v>
      </c>
      <c r="G2143" s="1">
        <v>0.54849999999999999</v>
      </c>
      <c r="H2143">
        <v>6</v>
      </c>
      <c r="I2143">
        <v>2889</v>
      </c>
    </row>
    <row r="2144" spans="1:9" x14ac:dyDescent="0.35">
      <c r="A2144" t="s">
        <v>9</v>
      </c>
      <c r="B2144" t="s">
        <v>2006</v>
      </c>
      <c r="C2144" t="s">
        <v>2107</v>
      </c>
      <c r="D2144" t="str">
        <f>"281704"</f>
        <v>281704</v>
      </c>
      <c r="E2144">
        <v>4178</v>
      </c>
      <c r="F2144">
        <v>2176</v>
      </c>
      <c r="G2144" s="1">
        <v>0.52080000000000004</v>
      </c>
      <c r="H2144">
        <v>9</v>
      </c>
      <c r="I2144">
        <v>4074</v>
      </c>
    </row>
    <row r="2145" spans="1:9" x14ac:dyDescent="0.35">
      <c r="A2145" t="s">
        <v>9</v>
      </c>
      <c r="B2145" t="s">
        <v>2006</v>
      </c>
      <c r="C2145" t="s">
        <v>2108</v>
      </c>
      <c r="D2145" t="str">
        <f>"281705"</f>
        <v>281705</v>
      </c>
      <c r="E2145">
        <v>4180</v>
      </c>
      <c r="F2145">
        <v>1993</v>
      </c>
      <c r="G2145" s="1">
        <v>0.4768</v>
      </c>
      <c r="H2145">
        <v>7</v>
      </c>
      <c r="I2145">
        <v>4152</v>
      </c>
    </row>
    <row r="2146" spans="1:9" x14ac:dyDescent="0.35">
      <c r="A2146" t="s">
        <v>9</v>
      </c>
      <c r="B2146" t="s">
        <v>2006</v>
      </c>
      <c r="C2146" t="s">
        <v>2109</v>
      </c>
      <c r="D2146" t="str">
        <f>"281706"</f>
        <v>281706</v>
      </c>
      <c r="E2146">
        <v>9942</v>
      </c>
      <c r="F2146">
        <v>5689</v>
      </c>
      <c r="G2146" s="1">
        <v>0.57220000000000004</v>
      </c>
      <c r="H2146">
        <v>20</v>
      </c>
      <c r="I2146">
        <v>9868</v>
      </c>
    </row>
    <row r="2147" spans="1:9" x14ac:dyDescent="0.35">
      <c r="A2147" t="s">
        <v>9</v>
      </c>
      <c r="B2147" t="s">
        <v>2006</v>
      </c>
      <c r="C2147" t="s">
        <v>2079</v>
      </c>
      <c r="D2147" t="str">
        <f>"281707"</f>
        <v>281707</v>
      </c>
      <c r="E2147">
        <v>4460</v>
      </c>
      <c r="F2147">
        <v>2485</v>
      </c>
      <c r="G2147" s="1">
        <v>0.55720000000000003</v>
      </c>
      <c r="H2147">
        <v>8</v>
      </c>
      <c r="I2147">
        <v>4408</v>
      </c>
    </row>
    <row r="2148" spans="1:9" x14ac:dyDescent="0.35">
      <c r="A2148" t="s">
        <v>9</v>
      </c>
      <c r="B2148" t="s">
        <v>2006</v>
      </c>
      <c r="C2148" t="s">
        <v>2110</v>
      </c>
      <c r="D2148" t="str">
        <f>"281708"</f>
        <v>281708</v>
      </c>
      <c r="E2148">
        <v>4793</v>
      </c>
      <c r="F2148">
        <v>2316</v>
      </c>
      <c r="G2148" s="1">
        <v>0.48320000000000002</v>
      </c>
      <c r="H2148">
        <v>6</v>
      </c>
      <c r="I2148">
        <v>4761</v>
      </c>
    </row>
    <row r="2149" spans="1:9" x14ac:dyDescent="0.35">
      <c r="A2149" t="s">
        <v>9</v>
      </c>
      <c r="B2149" t="s">
        <v>2006</v>
      </c>
      <c r="C2149" t="s">
        <v>2111</v>
      </c>
      <c r="D2149" t="str">
        <f>"281801"</f>
        <v>281801</v>
      </c>
      <c r="E2149">
        <v>2716</v>
      </c>
      <c r="F2149">
        <v>1374</v>
      </c>
      <c r="G2149" s="1">
        <v>0.50590000000000002</v>
      </c>
      <c r="H2149">
        <v>4</v>
      </c>
      <c r="I2149">
        <v>2689</v>
      </c>
    </row>
    <row r="2150" spans="1:9" x14ac:dyDescent="0.35">
      <c r="A2150" t="s">
        <v>9</v>
      </c>
      <c r="B2150" t="s">
        <v>2006</v>
      </c>
      <c r="C2150" t="s">
        <v>2112</v>
      </c>
      <c r="D2150" t="str">
        <f>"281802"</f>
        <v>281802</v>
      </c>
      <c r="E2150">
        <v>2069</v>
      </c>
      <c r="F2150">
        <v>972</v>
      </c>
      <c r="G2150" s="1">
        <v>0.4698</v>
      </c>
      <c r="H2150">
        <v>3</v>
      </c>
      <c r="I2150">
        <v>2049</v>
      </c>
    </row>
    <row r="2151" spans="1:9" x14ac:dyDescent="0.35">
      <c r="A2151" t="s">
        <v>9</v>
      </c>
      <c r="B2151" t="s">
        <v>2006</v>
      </c>
      <c r="C2151" t="s">
        <v>2113</v>
      </c>
      <c r="D2151" t="str">
        <f>"281803"</f>
        <v>281803</v>
      </c>
      <c r="E2151">
        <v>13697</v>
      </c>
      <c r="F2151">
        <v>7375</v>
      </c>
      <c r="G2151" s="1">
        <v>0.53839999999999999</v>
      </c>
      <c r="H2151">
        <v>16</v>
      </c>
      <c r="I2151">
        <v>13581</v>
      </c>
    </row>
    <row r="2152" spans="1:9" x14ac:dyDescent="0.35">
      <c r="A2152" t="s">
        <v>9</v>
      </c>
      <c r="B2152" t="s">
        <v>2006</v>
      </c>
      <c r="C2152" t="s">
        <v>2114</v>
      </c>
      <c r="D2152" t="str">
        <f>"281901"</f>
        <v>281901</v>
      </c>
      <c r="E2152">
        <v>2144</v>
      </c>
      <c r="F2152">
        <v>1039</v>
      </c>
      <c r="G2152" s="1">
        <v>0.48459999999999998</v>
      </c>
      <c r="H2152">
        <v>5</v>
      </c>
      <c r="I2152">
        <v>2120</v>
      </c>
    </row>
    <row r="2153" spans="1:9" x14ac:dyDescent="0.35">
      <c r="A2153" t="s">
        <v>9</v>
      </c>
      <c r="B2153" t="s">
        <v>2006</v>
      </c>
      <c r="C2153" t="s">
        <v>2115</v>
      </c>
      <c r="D2153" t="str">
        <f>"281902"</f>
        <v>281902</v>
      </c>
      <c r="E2153">
        <v>2508</v>
      </c>
      <c r="F2153">
        <v>1362</v>
      </c>
      <c r="G2153" s="1">
        <v>0.54310000000000003</v>
      </c>
      <c r="H2153">
        <v>3</v>
      </c>
      <c r="I2153">
        <v>2487</v>
      </c>
    </row>
    <row r="2154" spans="1:9" x14ac:dyDescent="0.35">
      <c r="A2154" t="s">
        <v>9</v>
      </c>
      <c r="B2154" t="s">
        <v>2006</v>
      </c>
      <c r="C2154" t="s">
        <v>2116</v>
      </c>
      <c r="D2154" t="str">
        <f>"281903"</f>
        <v>281903</v>
      </c>
      <c r="E2154">
        <v>11764</v>
      </c>
      <c r="F2154">
        <v>6701</v>
      </c>
      <c r="G2154" s="1">
        <v>0.5696</v>
      </c>
      <c r="H2154">
        <v>17</v>
      </c>
      <c r="I2154">
        <v>11631</v>
      </c>
    </row>
    <row r="2155" spans="1:9" x14ac:dyDescent="0.35">
      <c r="A2155" t="s">
        <v>9</v>
      </c>
      <c r="B2155" t="s">
        <v>2006</v>
      </c>
      <c r="C2155" t="s">
        <v>2117</v>
      </c>
      <c r="D2155" t="str">
        <f>"286101"</f>
        <v>286101</v>
      </c>
      <c r="E2155">
        <v>85357</v>
      </c>
      <c r="F2155">
        <v>49436</v>
      </c>
      <c r="G2155" s="1">
        <v>0.57920000000000005</v>
      </c>
      <c r="H2155">
        <v>57</v>
      </c>
      <c r="I2155">
        <v>83899</v>
      </c>
    </row>
    <row r="2156" spans="1:9" x14ac:dyDescent="0.35">
      <c r="A2156" t="s">
        <v>9</v>
      </c>
      <c r="B2156" t="s">
        <v>2006</v>
      </c>
      <c r="C2156" t="s">
        <v>2118</v>
      </c>
      <c r="D2156" t="str">
        <f>"286201"</f>
        <v>286201</v>
      </c>
      <c r="E2156">
        <v>124235</v>
      </c>
      <c r="F2156">
        <v>75806</v>
      </c>
      <c r="G2156" s="1">
        <v>0.61019999999999996</v>
      </c>
      <c r="H2156">
        <v>87</v>
      </c>
      <c r="I2156">
        <v>122916</v>
      </c>
    </row>
    <row r="2157" spans="1:9" x14ac:dyDescent="0.35">
      <c r="A2157" t="s">
        <v>9</v>
      </c>
      <c r="B2157" t="s">
        <v>2119</v>
      </c>
      <c r="C2157" t="s">
        <v>2120</v>
      </c>
      <c r="D2157" t="str">
        <f>"300101"</f>
        <v>300101</v>
      </c>
      <c r="E2157">
        <v>13430</v>
      </c>
      <c r="F2157">
        <v>8048</v>
      </c>
      <c r="G2157" s="1">
        <v>0.59930000000000005</v>
      </c>
      <c r="H2157">
        <v>8</v>
      </c>
      <c r="I2157">
        <v>13288</v>
      </c>
    </row>
    <row r="2158" spans="1:9" x14ac:dyDescent="0.35">
      <c r="A2158" t="s">
        <v>9</v>
      </c>
      <c r="B2158" t="s">
        <v>2119</v>
      </c>
      <c r="C2158" t="s">
        <v>2121</v>
      </c>
      <c r="D2158" t="str">
        <f>"300102"</f>
        <v>300102</v>
      </c>
      <c r="E2158">
        <v>6237</v>
      </c>
      <c r="F2158">
        <v>3595</v>
      </c>
      <c r="G2158" s="1">
        <v>0.57640000000000002</v>
      </c>
      <c r="H2158">
        <v>10</v>
      </c>
      <c r="I2158">
        <v>6204</v>
      </c>
    </row>
    <row r="2159" spans="1:9" x14ac:dyDescent="0.35">
      <c r="A2159" t="s">
        <v>9</v>
      </c>
      <c r="B2159" t="s">
        <v>2119</v>
      </c>
      <c r="C2159" t="s">
        <v>2122</v>
      </c>
      <c r="D2159" t="str">
        <f>"300103"</f>
        <v>300103</v>
      </c>
      <c r="E2159">
        <v>4618</v>
      </c>
      <c r="F2159">
        <v>2816</v>
      </c>
      <c r="G2159" s="1">
        <v>0.60980000000000001</v>
      </c>
      <c r="H2159">
        <v>8</v>
      </c>
      <c r="I2159">
        <v>4587</v>
      </c>
    </row>
    <row r="2160" spans="1:9" x14ac:dyDescent="0.35">
      <c r="A2160" t="s">
        <v>9</v>
      </c>
      <c r="B2160" t="s">
        <v>2119</v>
      </c>
      <c r="C2160" t="s">
        <v>2123</v>
      </c>
      <c r="D2160" t="str">
        <f>"300104"</f>
        <v>300104</v>
      </c>
      <c r="E2160">
        <v>4818</v>
      </c>
      <c r="F2160">
        <v>2976</v>
      </c>
      <c r="G2160" s="1">
        <v>0.61770000000000003</v>
      </c>
      <c r="H2160">
        <v>9</v>
      </c>
      <c r="I2160">
        <v>4793</v>
      </c>
    </row>
    <row r="2161" spans="1:9" x14ac:dyDescent="0.35">
      <c r="A2161" t="s">
        <v>9</v>
      </c>
      <c r="B2161" t="s">
        <v>2119</v>
      </c>
      <c r="C2161" t="s">
        <v>2124</v>
      </c>
      <c r="D2161" t="str">
        <f>"300105"</f>
        <v>300105</v>
      </c>
      <c r="E2161">
        <v>5600</v>
      </c>
      <c r="F2161">
        <v>3066</v>
      </c>
      <c r="G2161" s="1">
        <v>0.54749999999999999</v>
      </c>
      <c r="H2161">
        <v>7</v>
      </c>
      <c r="I2161">
        <v>5584</v>
      </c>
    </row>
    <row r="2162" spans="1:9" x14ac:dyDescent="0.35">
      <c r="A2162" t="s">
        <v>9</v>
      </c>
      <c r="B2162" t="s">
        <v>2119</v>
      </c>
      <c r="C2162" t="s">
        <v>2125</v>
      </c>
      <c r="D2162" t="str">
        <f>"300201"</f>
        <v>300201</v>
      </c>
      <c r="E2162">
        <v>7660</v>
      </c>
      <c r="F2162">
        <v>4522</v>
      </c>
      <c r="G2162" s="1">
        <v>0.59030000000000005</v>
      </c>
      <c r="H2162">
        <v>5</v>
      </c>
      <c r="I2162">
        <v>7638</v>
      </c>
    </row>
    <row r="2163" spans="1:9" x14ac:dyDescent="0.35">
      <c r="A2163" t="s">
        <v>9</v>
      </c>
      <c r="B2163" t="s">
        <v>2119</v>
      </c>
      <c r="C2163" t="s">
        <v>2126</v>
      </c>
      <c r="D2163" t="str">
        <f>"300202"</f>
        <v>300202</v>
      </c>
      <c r="E2163">
        <v>8527</v>
      </c>
      <c r="F2163">
        <v>4562</v>
      </c>
      <c r="G2163" s="1">
        <v>0.53500000000000003</v>
      </c>
      <c r="H2163">
        <v>17</v>
      </c>
      <c r="I2163">
        <v>8499</v>
      </c>
    </row>
    <row r="2164" spans="1:9" x14ac:dyDescent="0.35">
      <c r="A2164" t="s">
        <v>9</v>
      </c>
      <c r="B2164" t="s">
        <v>2119</v>
      </c>
      <c r="C2164" t="s">
        <v>2127</v>
      </c>
      <c r="D2164" t="str">
        <f>"300203"</f>
        <v>300203</v>
      </c>
      <c r="E2164">
        <v>4415</v>
      </c>
      <c r="F2164">
        <v>2393</v>
      </c>
      <c r="G2164" s="1">
        <v>0.54200000000000004</v>
      </c>
      <c r="H2164">
        <v>7</v>
      </c>
      <c r="I2164">
        <v>4359</v>
      </c>
    </row>
    <row r="2165" spans="1:9" x14ac:dyDescent="0.35">
      <c r="A2165" t="s">
        <v>9</v>
      </c>
      <c r="B2165" t="s">
        <v>2119</v>
      </c>
      <c r="C2165" t="s">
        <v>2128</v>
      </c>
      <c r="D2165" t="str">
        <f>"300204"</f>
        <v>300204</v>
      </c>
      <c r="E2165">
        <v>6262</v>
      </c>
      <c r="F2165">
        <v>2973</v>
      </c>
      <c r="G2165" s="1">
        <v>0.4748</v>
      </c>
      <c r="H2165">
        <v>6</v>
      </c>
      <c r="I2165">
        <v>6215</v>
      </c>
    </row>
    <row r="2166" spans="1:9" x14ac:dyDescent="0.35">
      <c r="A2166" t="s">
        <v>9</v>
      </c>
      <c r="B2166" t="s">
        <v>2119</v>
      </c>
      <c r="C2166" t="s">
        <v>2129</v>
      </c>
      <c r="D2166" t="str">
        <f>"300205"</f>
        <v>300205</v>
      </c>
      <c r="E2166">
        <v>5668</v>
      </c>
      <c r="F2166">
        <v>3300</v>
      </c>
      <c r="G2166" s="1">
        <v>0.58220000000000005</v>
      </c>
      <c r="H2166">
        <v>11</v>
      </c>
      <c r="I2166">
        <v>5641</v>
      </c>
    </row>
    <row r="2167" spans="1:9" x14ac:dyDescent="0.35">
      <c r="A2167" t="s">
        <v>9</v>
      </c>
      <c r="B2167" t="s">
        <v>2119</v>
      </c>
      <c r="C2167" t="s">
        <v>2130</v>
      </c>
      <c r="D2167" t="str">
        <f>"300206"</f>
        <v>300206</v>
      </c>
      <c r="E2167">
        <v>4669</v>
      </c>
      <c r="F2167">
        <v>2580</v>
      </c>
      <c r="G2167" s="1">
        <v>0.55259999999999998</v>
      </c>
      <c r="H2167">
        <v>7</v>
      </c>
      <c r="I2167">
        <v>4646</v>
      </c>
    </row>
    <row r="2168" spans="1:9" x14ac:dyDescent="0.35">
      <c r="A2168" t="s">
        <v>9</v>
      </c>
      <c r="B2168" t="s">
        <v>2119</v>
      </c>
      <c r="C2168" t="s">
        <v>2131</v>
      </c>
      <c r="D2168" t="str">
        <f>"300207"</f>
        <v>300207</v>
      </c>
      <c r="E2168">
        <v>17344</v>
      </c>
      <c r="F2168">
        <v>9217</v>
      </c>
      <c r="G2168" s="1">
        <v>0.53139999999999998</v>
      </c>
      <c r="H2168">
        <v>17</v>
      </c>
      <c r="I2168">
        <v>17192</v>
      </c>
    </row>
    <row r="2169" spans="1:9" x14ac:dyDescent="0.35">
      <c r="A2169" t="s">
        <v>9</v>
      </c>
      <c r="B2169" t="s">
        <v>2119</v>
      </c>
      <c r="C2169" t="s">
        <v>2132</v>
      </c>
      <c r="D2169" t="str">
        <f>"300208"</f>
        <v>300208</v>
      </c>
      <c r="E2169">
        <v>8996</v>
      </c>
      <c r="F2169">
        <v>4462</v>
      </c>
      <c r="G2169" s="1">
        <v>0.496</v>
      </c>
      <c r="H2169">
        <v>9</v>
      </c>
      <c r="I2169">
        <v>8879</v>
      </c>
    </row>
    <row r="2170" spans="1:9" x14ac:dyDescent="0.35">
      <c r="A2170" t="s">
        <v>9</v>
      </c>
      <c r="B2170" t="s">
        <v>2119</v>
      </c>
      <c r="C2170" t="s">
        <v>2133</v>
      </c>
      <c r="D2170" t="str">
        <f>"300301"</f>
        <v>300301</v>
      </c>
      <c r="E2170">
        <v>48612</v>
      </c>
      <c r="F2170">
        <v>28939</v>
      </c>
      <c r="G2170" s="1">
        <v>0.59530000000000005</v>
      </c>
      <c r="H2170">
        <v>35</v>
      </c>
      <c r="I2170">
        <v>48336</v>
      </c>
    </row>
    <row r="2171" spans="1:9" x14ac:dyDescent="0.35">
      <c r="A2171" t="s">
        <v>9</v>
      </c>
      <c r="B2171" t="s">
        <v>2119</v>
      </c>
      <c r="C2171" t="s">
        <v>2134</v>
      </c>
      <c r="D2171" t="str">
        <f>"300302"</f>
        <v>300302</v>
      </c>
      <c r="E2171">
        <v>5487</v>
      </c>
      <c r="F2171">
        <v>3122</v>
      </c>
      <c r="G2171" s="1">
        <v>0.56899999999999995</v>
      </c>
      <c r="H2171">
        <v>7</v>
      </c>
      <c r="I2171">
        <v>5466</v>
      </c>
    </row>
    <row r="2172" spans="1:9" x14ac:dyDescent="0.35">
      <c r="A2172" t="s">
        <v>9</v>
      </c>
      <c r="B2172" t="s">
        <v>2119</v>
      </c>
      <c r="C2172" t="s">
        <v>2135</v>
      </c>
      <c r="D2172" t="str">
        <f>"300303"</f>
        <v>300303</v>
      </c>
      <c r="E2172">
        <v>10013</v>
      </c>
      <c r="F2172">
        <v>6120</v>
      </c>
      <c r="G2172" s="1">
        <v>0.61119999999999997</v>
      </c>
      <c r="H2172">
        <v>9</v>
      </c>
      <c r="I2172">
        <v>9945</v>
      </c>
    </row>
    <row r="2173" spans="1:9" x14ac:dyDescent="0.35">
      <c r="A2173" t="s">
        <v>9</v>
      </c>
      <c r="B2173" t="s">
        <v>2119</v>
      </c>
      <c r="C2173" t="s">
        <v>2136</v>
      </c>
      <c r="D2173" t="str">
        <f>"300304"</f>
        <v>300304</v>
      </c>
      <c r="E2173">
        <v>4177</v>
      </c>
      <c r="F2173">
        <v>2512</v>
      </c>
      <c r="G2173" s="1">
        <v>0.60140000000000005</v>
      </c>
      <c r="H2173">
        <v>9</v>
      </c>
      <c r="I2173">
        <v>4121</v>
      </c>
    </row>
    <row r="2174" spans="1:9" x14ac:dyDescent="0.35">
      <c r="A2174" t="s">
        <v>9</v>
      </c>
      <c r="B2174" t="s">
        <v>2119</v>
      </c>
      <c r="C2174" t="s">
        <v>2137</v>
      </c>
      <c r="D2174" t="str">
        <f>"300305"</f>
        <v>300305</v>
      </c>
      <c r="E2174">
        <v>5529</v>
      </c>
      <c r="F2174">
        <v>3251</v>
      </c>
      <c r="G2174" s="1">
        <v>0.58799999999999997</v>
      </c>
      <c r="H2174">
        <v>11</v>
      </c>
      <c r="I2174">
        <v>5498</v>
      </c>
    </row>
    <row r="2175" spans="1:9" x14ac:dyDescent="0.35">
      <c r="A2175" t="s">
        <v>9</v>
      </c>
      <c r="B2175" t="s">
        <v>2119</v>
      </c>
      <c r="C2175" t="s">
        <v>2138</v>
      </c>
      <c r="D2175" t="str">
        <f>"300306"</f>
        <v>300306</v>
      </c>
      <c r="E2175">
        <v>5371</v>
      </c>
      <c r="F2175">
        <v>3340</v>
      </c>
      <c r="G2175" s="1">
        <v>0.62190000000000001</v>
      </c>
      <c r="H2175">
        <v>9</v>
      </c>
      <c r="I2175">
        <v>5289</v>
      </c>
    </row>
    <row r="2176" spans="1:9" x14ac:dyDescent="0.35">
      <c r="A2176" t="s">
        <v>9</v>
      </c>
      <c r="B2176" t="s">
        <v>2119</v>
      </c>
      <c r="C2176" t="s">
        <v>2139</v>
      </c>
      <c r="D2176" t="str">
        <f>"300307"</f>
        <v>300307</v>
      </c>
      <c r="E2176">
        <v>2897</v>
      </c>
      <c r="F2176">
        <v>1638</v>
      </c>
      <c r="G2176" s="1">
        <v>0.56540000000000001</v>
      </c>
      <c r="H2176">
        <v>7</v>
      </c>
      <c r="I2176">
        <v>2878</v>
      </c>
    </row>
    <row r="2177" spans="1:9" x14ac:dyDescent="0.35">
      <c r="A2177" t="s">
        <v>9</v>
      </c>
      <c r="B2177" t="s">
        <v>2119</v>
      </c>
      <c r="C2177" t="s">
        <v>2140</v>
      </c>
      <c r="D2177" t="str">
        <f>"300308"</f>
        <v>300308</v>
      </c>
      <c r="E2177">
        <v>4505</v>
      </c>
      <c r="F2177">
        <v>2675</v>
      </c>
      <c r="G2177" s="1">
        <v>0.59379999999999999</v>
      </c>
      <c r="H2177">
        <v>6</v>
      </c>
      <c r="I2177">
        <v>4491</v>
      </c>
    </row>
    <row r="2178" spans="1:9" x14ac:dyDescent="0.35">
      <c r="A2178" t="s">
        <v>9</v>
      </c>
      <c r="B2178" t="s">
        <v>2119</v>
      </c>
      <c r="C2178" t="s">
        <v>2141</v>
      </c>
      <c r="D2178" t="str">
        <f>"300309"</f>
        <v>300309</v>
      </c>
      <c r="E2178">
        <v>10474</v>
      </c>
      <c r="F2178">
        <v>5531</v>
      </c>
      <c r="G2178" s="1">
        <v>0.52810000000000001</v>
      </c>
      <c r="H2178">
        <v>15</v>
      </c>
      <c r="I2178">
        <v>10430</v>
      </c>
    </row>
    <row r="2179" spans="1:9" x14ac:dyDescent="0.35">
      <c r="A2179" t="s">
        <v>9</v>
      </c>
      <c r="B2179" t="s">
        <v>2119</v>
      </c>
      <c r="C2179" t="s">
        <v>2142</v>
      </c>
      <c r="D2179" t="str">
        <f>"300310"</f>
        <v>300310</v>
      </c>
      <c r="E2179">
        <v>9954</v>
      </c>
      <c r="F2179">
        <v>5956</v>
      </c>
      <c r="G2179" s="1">
        <v>0.59840000000000004</v>
      </c>
      <c r="H2179">
        <v>14</v>
      </c>
      <c r="I2179">
        <v>9935</v>
      </c>
    </row>
    <row r="2180" spans="1:9" x14ac:dyDescent="0.35">
      <c r="A2180" t="s">
        <v>9</v>
      </c>
      <c r="B2180" t="s">
        <v>2119</v>
      </c>
      <c r="C2180" t="s">
        <v>2143</v>
      </c>
      <c r="D2180" t="str">
        <f>"300401"</f>
        <v>300401</v>
      </c>
      <c r="E2180">
        <v>5489</v>
      </c>
      <c r="F2180">
        <v>2885</v>
      </c>
      <c r="G2180" s="1">
        <v>0.52559999999999996</v>
      </c>
      <c r="H2180">
        <v>8</v>
      </c>
      <c r="I2180">
        <v>5458</v>
      </c>
    </row>
    <row r="2181" spans="1:9" x14ac:dyDescent="0.35">
      <c r="A2181" t="s">
        <v>9</v>
      </c>
      <c r="B2181" t="s">
        <v>2119</v>
      </c>
      <c r="C2181" t="s">
        <v>2144</v>
      </c>
      <c r="D2181" t="str">
        <f>"300402"</f>
        <v>300402</v>
      </c>
      <c r="E2181">
        <v>20932</v>
      </c>
      <c r="F2181">
        <v>11992</v>
      </c>
      <c r="G2181" s="1">
        <v>0.57289999999999996</v>
      </c>
      <c r="H2181">
        <v>28</v>
      </c>
      <c r="I2181">
        <v>20893</v>
      </c>
    </row>
    <row r="2182" spans="1:9" x14ac:dyDescent="0.35">
      <c r="A2182" t="s">
        <v>9</v>
      </c>
      <c r="B2182" t="s">
        <v>2119</v>
      </c>
      <c r="C2182" t="s">
        <v>2145</v>
      </c>
      <c r="D2182" t="str">
        <f>"300403"</f>
        <v>300403</v>
      </c>
      <c r="E2182">
        <v>9659</v>
      </c>
      <c r="F2182">
        <v>4922</v>
      </c>
      <c r="G2182" s="1">
        <v>0.50960000000000005</v>
      </c>
      <c r="H2182">
        <v>15</v>
      </c>
      <c r="I2182">
        <v>9644</v>
      </c>
    </row>
    <row r="2183" spans="1:9" x14ac:dyDescent="0.35">
      <c r="A2183" t="s">
        <v>9</v>
      </c>
      <c r="B2183" t="s">
        <v>2119</v>
      </c>
      <c r="C2183" t="s">
        <v>2146</v>
      </c>
      <c r="D2183" t="str">
        <f>"300404"</f>
        <v>300404</v>
      </c>
      <c r="E2183">
        <v>4497</v>
      </c>
      <c r="F2183">
        <v>2601</v>
      </c>
      <c r="G2183" s="1">
        <v>0.57840000000000003</v>
      </c>
      <c r="H2183">
        <v>10</v>
      </c>
      <c r="I2183">
        <v>4492</v>
      </c>
    </row>
    <row r="2184" spans="1:9" x14ac:dyDescent="0.35">
      <c r="A2184" t="s">
        <v>9</v>
      </c>
      <c r="B2184" t="s">
        <v>2119</v>
      </c>
      <c r="C2184" t="s">
        <v>495</v>
      </c>
      <c r="D2184" t="str">
        <f>"300405"</f>
        <v>300405</v>
      </c>
      <c r="E2184">
        <v>6428</v>
      </c>
      <c r="F2184">
        <v>3559</v>
      </c>
      <c r="G2184" s="1">
        <v>0.55369999999999997</v>
      </c>
      <c r="H2184">
        <v>10</v>
      </c>
      <c r="I2184">
        <v>6389</v>
      </c>
    </row>
    <row r="2185" spans="1:9" x14ac:dyDescent="0.35">
      <c r="A2185" t="s">
        <v>9</v>
      </c>
      <c r="B2185" t="s">
        <v>2119</v>
      </c>
      <c r="C2185" t="s">
        <v>2147</v>
      </c>
      <c r="D2185" t="str">
        <f>"300406"</f>
        <v>300406</v>
      </c>
      <c r="E2185">
        <v>3650</v>
      </c>
      <c r="F2185">
        <v>1914</v>
      </c>
      <c r="G2185" s="1">
        <v>0.52439999999999998</v>
      </c>
      <c r="H2185">
        <v>6</v>
      </c>
      <c r="I2185">
        <v>3631</v>
      </c>
    </row>
    <row r="2186" spans="1:9" x14ac:dyDescent="0.35">
      <c r="A2186" t="s">
        <v>9</v>
      </c>
      <c r="B2186" t="s">
        <v>2119</v>
      </c>
      <c r="C2186" t="s">
        <v>2148</v>
      </c>
      <c r="D2186" t="str">
        <f>"300407"</f>
        <v>300407</v>
      </c>
      <c r="E2186">
        <v>5750</v>
      </c>
      <c r="F2186">
        <v>2957</v>
      </c>
      <c r="G2186" s="1">
        <v>0.51429999999999998</v>
      </c>
      <c r="H2186">
        <v>9</v>
      </c>
      <c r="I2186">
        <v>5745</v>
      </c>
    </row>
    <row r="2187" spans="1:9" x14ac:dyDescent="0.35">
      <c r="A2187" t="s">
        <v>9</v>
      </c>
      <c r="B2187" t="s">
        <v>2119</v>
      </c>
      <c r="C2187" t="s">
        <v>2149</v>
      </c>
      <c r="D2187" t="str">
        <f>"300501"</f>
        <v>300501</v>
      </c>
      <c r="E2187">
        <v>3857</v>
      </c>
      <c r="F2187">
        <v>2142</v>
      </c>
      <c r="G2187" s="1">
        <v>0.5554</v>
      </c>
      <c r="H2187">
        <v>5</v>
      </c>
      <c r="I2187">
        <v>3808</v>
      </c>
    </row>
    <row r="2188" spans="1:9" x14ac:dyDescent="0.35">
      <c r="A2188" t="s">
        <v>9</v>
      </c>
      <c r="B2188" t="s">
        <v>2119</v>
      </c>
      <c r="C2188" t="s">
        <v>2150</v>
      </c>
      <c r="D2188" t="str">
        <f>"300502"</f>
        <v>300502</v>
      </c>
      <c r="E2188">
        <v>14882</v>
      </c>
      <c r="F2188">
        <v>8513</v>
      </c>
      <c r="G2188" s="1">
        <v>0.57199999999999995</v>
      </c>
      <c r="H2188">
        <v>9</v>
      </c>
      <c r="I2188">
        <v>14864</v>
      </c>
    </row>
    <row r="2189" spans="1:9" x14ac:dyDescent="0.35">
      <c r="A2189" t="s">
        <v>9</v>
      </c>
      <c r="B2189" t="s">
        <v>2119</v>
      </c>
      <c r="C2189" t="s">
        <v>2151</v>
      </c>
      <c r="D2189" t="str">
        <f>"300503"</f>
        <v>300503</v>
      </c>
      <c r="E2189">
        <v>4923</v>
      </c>
      <c r="F2189">
        <v>2775</v>
      </c>
      <c r="G2189" s="1">
        <v>0.56369999999999998</v>
      </c>
      <c r="H2189">
        <v>6</v>
      </c>
      <c r="I2189">
        <v>4922</v>
      </c>
    </row>
    <row r="2190" spans="1:9" x14ac:dyDescent="0.35">
      <c r="A2190" t="s">
        <v>9</v>
      </c>
      <c r="B2190" t="s">
        <v>2119</v>
      </c>
      <c r="C2190" t="s">
        <v>2152</v>
      </c>
      <c r="D2190" t="str">
        <f>"300504"</f>
        <v>300504</v>
      </c>
      <c r="E2190">
        <v>9834</v>
      </c>
      <c r="F2190">
        <v>5102</v>
      </c>
      <c r="G2190" s="1">
        <v>0.51880000000000004</v>
      </c>
      <c r="H2190">
        <v>6</v>
      </c>
      <c r="I2190">
        <v>9820</v>
      </c>
    </row>
    <row r="2191" spans="1:9" x14ac:dyDescent="0.35">
      <c r="A2191" t="s">
        <v>9</v>
      </c>
      <c r="B2191" t="s">
        <v>2119</v>
      </c>
      <c r="C2191" t="s">
        <v>2153</v>
      </c>
      <c r="D2191" t="str">
        <f>"300505"</f>
        <v>300505</v>
      </c>
      <c r="E2191">
        <v>5112</v>
      </c>
      <c r="F2191">
        <v>2691</v>
      </c>
      <c r="G2191" s="1">
        <v>0.52639999999999998</v>
      </c>
      <c r="H2191">
        <v>5</v>
      </c>
      <c r="I2191">
        <v>5103</v>
      </c>
    </row>
    <row r="2192" spans="1:9" x14ac:dyDescent="0.35">
      <c r="A2192" t="s">
        <v>9</v>
      </c>
      <c r="B2192" t="s">
        <v>2119</v>
      </c>
      <c r="C2192" t="s">
        <v>2154</v>
      </c>
      <c r="D2192" t="str">
        <f>"300601"</f>
        <v>300601</v>
      </c>
      <c r="E2192">
        <v>5958</v>
      </c>
      <c r="F2192">
        <v>3416</v>
      </c>
      <c r="G2192" s="1">
        <v>0.57330000000000003</v>
      </c>
      <c r="H2192">
        <v>14</v>
      </c>
      <c r="I2192">
        <v>5934</v>
      </c>
    </row>
    <row r="2193" spans="1:9" x14ac:dyDescent="0.35">
      <c r="A2193" t="s">
        <v>9</v>
      </c>
      <c r="B2193" t="s">
        <v>2119</v>
      </c>
      <c r="C2193" t="s">
        <v>1438</v>
      </c>
      <c r="D2193" t="str">
        <f>"300602"</f>
        <v>300602</v>
      </c>
      <c r="E2193">
        <v>34299</v>
      </c>
      <c r="F2193">
        <v>18655</v>
      </c>
      <c r="G2193" s="1">
        <v>0.54390000000000005</v>
      </c>
      <c r="H2193">
        <v>24</v>
      </c>
      <c r="I2193">
        <v>34035</v>
      </c>
    </row>
    <row r="2194" spans="1:9" x14ac:dyDescent="0.35">
      <c r="A2194" t="s">
        <v>9</v>
      </c>
      <c r="B2194" t="s">
        <v>2119</v>
      </c>
      <c r="C2194" t="s">
        <v>2155</v>
      </c>
      <c r="D2194" t="str">
        <f>"300603"</f>
        <v>300603</v>
      </c>
      <c r="E2194">
        <v>5256</v>
      </c>
      <c r="F2194">
        <v>3063</v>
      </c>
      <c r="G2194" s="1">
        <v>0.58279999999999998</v>
      </c>
      <c r="H2194">
        <v>11</v>
      </c>
      <c r="I2194">
        <v>5226</v>
      </c>
    </row>
    <row r="2195" spans="1:9" x14ac:dyDescent="0.35">
      <c r="A2195" t="s">
        <v>9</v>
      </c>
      <c r="B2195" t="s">
        <v>2119</v>
      </c>
      <c r="C2195" t="s">
        <v>2156</v>
      </c>
      <c r="D2195" t="str">
        <f>"300604"</f>
        <v>300604</v>
      </c>
      <c r="E2195">
        <v>7767</v>
      </c>
      <c r="F2195">
        <v>4154</v>
      </c>
      <c r="G2195" s="1">
        <v>0.53480000000000005</v>
      </c>
      <c r="H2195">
        <v>12</v>
      </c>
      <c r="I2195">
        <v>7739</v>
      </c>
    </row>
    <row r="2196" spans="1:9" x14ac:dyDescent="0.35">
      <c r="A2196" t="s">
        <v>9</v>
      </c>
      <c r="B2196" t="s">
        <v>2119</v>
      </c>
      <c r="C2196" t="s">
        <v>2157</v>
      </c>
      <c r="D2196" t="str">
        <f>"300701"</f>
        <v>300701</v>
      </c>
      <c r="E2196">
        <v>7663</v>
      </c>
      <c r="F2196">
        <v>3926</v>
      </c>
      <c r="G2196" s="1">
        <v>0.51229999999999998</v>
      </c>
      <c r="H2196">
        <v>8</v>
      </c>
      <c r="I2196">
        <v>7657</v>
      </c>
    </row>
    <row r="2197" spans="1:9" x14ac:dyDescent="0.35">
      <c r="A2197" t="s">
        <v>9</v>
      </c>
      <c r="B2197" t="s">
        <v>2119</v>
      </c>
      <c r="C2197" t="s">
        <v>786</v>
      </c>
      <c r="D2197" t="str">
        <f>"300702"</f>
        <v>300702</v>
      </c>
      <c r="E2197">
        <v>4496</v>
      </c>
      <c r="F2197">
        <v>2624</v>
      </c>
      <c r="G2197" s="1">
        <v>0.58360000000000001</v>
      </c>
      <c r="H2197">
        <v>11</v>
      </c>
      <c r="I2197">
        <v>4472</v>
      </c>
    </row>
    <row r="2198" spans="1:9" x14ac:dyDescent="0.35">
      <c r="A2198" t="s">
        <v>9</v>
      </c>
      <c r="B2198" t="s">
        <v>2119</v>
      </c>
      <c r="C2198" t="s">
        <v>2158</v>
      </c>
      <c r="D2198" t="str">
        <f>"300703"</f>
        <v>300703</v>
      </c>
      <c r="E2198">
        <v>3628</v>
      </c>
      <c r="F2198">
        <v>1923</v>
      </c>
      <c r="G2198" s="1">
        <v>0.53</v>
      </c>
      <c r="H2198">
        <v>7</v>
      </c>
      <c r="I2198">
        <v>3617</v>
      </c>
    </row>
    <row r="2199" spans="1:9" x14ac:dyDescent="0.35">
      <c r="A2199" t="s">
        <v>9</v>
      </c>
      <c r="B2199" t="s">
        <v>2119</v>
      </c>
      <c r="C2199" t="s">
        <v>2159</v>
      </c>
      <c r="D2199" t="str">
        <f>"300704"</f>
        <v>300704</v>
      </c>
      <c r="E2199">
        <v>7585</v>
      </c>
      <c r="F2199">
        <v>4400</v>
      </c>
      <c r="G2199" s="1">
        <v>0.58009999999999995</v>
      </c>
      <c r="H2199">
        <v>14</v>
      </c>
      <c r="I2199">
        <v>7544</v>
      </c>
    </row>
    <row r="2200" spans="1:9" x14ac:dyDescent="0.35">
      <c r="A2200" t="s">
        <v>9</v>
      </c>
      <c r="B2200" t="s">
        <v>2119</v>
      </c>
      <c r="C2200" t="s">
        <v>2160</v>
      </c>
      <c r="D2200" t="str">
        <f>"300705"</f>
        <v>300705</v>
      </c>
      <c r="E2200">
        <v>5772</v>
      </c>
      <c r="F2200">
        <v>3010</v>
      </c>
      <c r="G2200" s="1">
        <v>0.52149999999999996</v>
      </c>
      <c r="H2200">
        <v>10</v>
      </c>
      <c r="I2200">
        <v>5739</v>
      </c>
    </row>
    <row r="2201" spans="1:9" x14ac:dyDescent="0.35">
      <c r="A2201" t="s">
        <v>9</v>
      </c>
      <c r="B2201" t="s">
        <v>2119</v>
      </c>
      <c r="C2201" t="s">
        <v>2161</v>
      </c>
      <c r="D2201" t="str">
        <f>"300706"</f>
        <v>300706</v>
      </c>
      <c r="E2201">
        <v>3962</v>
      </c>
      <c r="F2201">
        <v>2123</v>
      </c>
      <c r="G2201" s="1">
        <v>0.53580000000000005</v>
      </c>
      <c r="H2201">
        <v>5</v>
      </c>
      <c r="I2201">
        <v>3962</v>
      </c>
    </row>
    <row r="2202" spans="1:9" x14ac:dyDescent="0.35">
      <c r="A2202" t="s">
        <v>9</v>
      </c>
      <c r="B2202" t="s">
        <v>2119</v>
      </c>
      <c r="C2202" t="s">
        <v>2162</v>
      </c>
      <c r="D2202" t="str">
        <f>"300707"</f>
        <v>300707</v>
      </c>
      <c r="E2202">
        <v>3710</v>
      </c>
      <c r="F2202">
        <v>1988</v>
      </c>
      <c r="G2202" s="1">
        <v>0.53580000000000005</v>
      </c>
      <c r="H2202">
        <v>6</v>
      </c>
      <c r="I2202">
        <v>3703</v>
      </c>
    </row>
    <row r="2203" spans="1:9" x14ac:dyDescent="0.35">
      <c r="A2203" t="s">
        <v>9</v>
      </c>
      <c r="B2203" t="s">
        <v>2119</v>
      </c>
      <c r="C2203" t="s">
        <v>2163</v>
      </c>
      <c r="D2203" t="str">
        <f>"300708"</f>
        <v>300708</v>
      </c>
      <c r="E2203">
        <v>8222</v>
      </c>
      <c r="F2203">
        <v>4870</v>
      </c>
      <c r="G2203" s="1">
        <v>0.59230000000000005</v>
      </c>
      <c r="H2203">
        <v>9</v>
      </c>
      <c r="I2203">
        <v>8167</v>
      </c>
    </row>
    <row r="2204" spans="1:9" x14ac:dyDescent="0.35">
      <c r="A2204" t="s">
        <v>9</v>
      </c>
      <c r="B2204" t="s">
        <v>2119</v>
      </c>
      <c r="C2204" t="s">
        <v>2164</v>
      </c>
      <c r="D2204" t="str">
        <f>"300709"</f>
        <v>300709</v>
      </c>
      <c r="E2204">
        <v>5383</v>
      </c>
      <c r="F2204">
        <v>2802</v>
      </c>
      <c r="G2204" s="1">
        <v>0.52049999999999996</v>
      </c>
      <c r="H2204">
        <v>6</v>
      </c>
      <c r="I2204">
        <v>5350</v>
      </c>
    </row>
    <row r="2205" spans="1:9" x14ac:dyDescent="0.35">
      <c r="A2205" t="s">
        <v>9</v>
      </c>
      <c r="B2205" t="s">
        <v>2119</v>
      </c>
      <c r="C2205" t="s">
        <v>2165</v>
      </c>
      <c r="D2205" t="str">
        <f>"300710"</f>
        <v>300710</v>
      </c>
      <c r="E2205">
        <v>5972</v>
      </c>
      <c r="F2205">
        <v>3387</v>
      </c>
      <c r="G2205" s="1">
        <v>0.56710000000000005</v>
      </c>
      <c r="H2205">
        <v>7</v>
      </c>
      <c r="I2205">
        <v>5967</v>
      </c>
    </row>
    <row r="2206" spans="1:9" x14ac:dyDescent="0.35">
      <c r="A2206" t="s">
        <v>9</v>
      </c>
      <c r="B2206" t="s">
        <v>2119</v>
      </c>
      <c r="C2206" t="s">
        <v>2166</v>
      </c>
      <c r="D2206" t="str">
        <f>"300711"</f>
        <v>300711</v>
      </c>
      <c r="E2206">
        <v>7373</v>
      </c>
      <c r="F2206">
        <v>4169</v>
      </c>
      <c r="G2206" s="1">
        <v>0.56540000000000001</v>
      </c>
      <c r="H2206">
        <v>8</v>
      </c>
      <c r="I2206">
        <v>7356</v>
      </c>
    </row>
    <row r="2207" spans="1:9" x14ac:dyDescent="0.35">
      <c r="A2207" t="s">
        <v>9</v>
      </c>
      <c r="B2207" t="s">
        <v>2119</v>
      </c>
      <c r="C2207" t="s">
        <v>469</v>
      </c>
      <c r="D2207" t="str">
        <f>"300801"</f>
        <v>300801</v>
      </c>
      <c r="E2207">
        <v>6160</v>
      </c>
      <c r="F2207">
        <v>3488</v>
      </c>
      <c r="G2207" s="1">
        <v>0.56620000000000004</v>
      </c>
      <c r="H2207">
        <v>8</v>
      </c>
      <c r="I2207">
        <v>6129</v>
      </c>
    </row>
    <row r="2208" spans="1:9" x14ac:dyDescent="0.35">
      <c r="A2208" t="s">
        <v>9</v>
      </c>
      <c r="B2208" t="s">
        <v>2119</v>
      </c>
      <c r="C2208" t="s">
        <v>2167</v>
      </c>
      <c r="D2208" t="str">
        <f>"300802"</f>
        <v>300802</v>
      </c>
      <c r="E2208">
        <v>4602</v>
      </c>
      <c r="F2208">
        <v>2592</v>
      </c>
      <c r="G2208" s="1">
        <v>0.56320000000000003</v>
      </c>
      <c r="H2208">
        <v>7</v>
      </c>
      <c r="I2208">
        <v>4578</v>
      </c>
    </row>
    <row r="2209" spans="1:9" x14ac:dyDescent="0.35">
      <c r="A2209" t="s">
        <v>9</v>
      </c>
      <c r="B2209" t="s">
        <v>2119</v>
      </c>
      <c r="C2209" t="s">
        <v>2168</v>
      </c>
      <c r="D2209" t="str">
        <f>"300803"</f>
        <v>300803</v>
      </c>
      <c r="E2209">
        <v>18091</v>
      </c>
      <c r="F2209">
        <v>10863</v>
      </c>
      <c r="G2209" s="1">
        <v>0.60050000000000003</v>
      </c>
      <c r="H2209">
        <v>16</v>
      </c>
      <c r="I2209">
        <v>17996</v>
      </c>
    </row>
    <row r="2210" spans="1:9" x14ac:dyDescent="0.35">
      <c r="A2210" t="s">
        <v>9</v>
      </c>
      <c r="B2210" t="s">
        <v>2119</v>
      </c>
      <c r="C2210" t="s">
        <v>2169</v>
      </c>
      <c r="D2210" t="str">
        <f>"300804"</f>
        <v>300804</v>
      </c>
      <c r="E2210">
        <v>4000</v>
      </c>
      <c r="F2210">
        <v>2186</v>
      </c>
      <c r="G2210" s="1">
        <v>0.54649999999999999</v>
      </c>
      <c r="H2210">
        <v>4</v>
      </c>
      <c r="I2210">
        <v>3976</v>
      </c>
    </row>
    <row r="2211" spans="1:9" x14ac:dyDescent="0.35">
      <c r="A2211" t="s">
        <v>9</v>
      </c>
      <c r="B2211" t="s">
        <v>2119</v>
      </c>
      <c r="C2211" t="s">
        <v>2170</v>
      </c>
      <c r="D2211" t="str">
        <f>"300805"</f>
        <v>300805</v>
      </c>
      <c r="E2211">
        <v>2874</v>
      </c>
      <c r="F2211">
        <v>1595</v>
      </c>
      <c r="G2211" s="1">
        <v>0.55500000000000005</v>
      </c>
      <c r="H2211">
        <v>5</v>
      </c>
      <c r="I2211">
        <v>2857</v>
      </c>
    </row>
    <row r="2212" spans="1:9" x14ac:dyDescent="0.35">
      <c r="A2212" t="s">
        <v>9</v>
      </c>
      <c r="B2212" t="s">
        <v>2119</v>
      </c>
      <c r="C2212" t="s">
        <v>2171</v>
      </c>
      <c r="D2212" t="str">
        <f>"300806"</f>
        <v>300806</v>
      </c>
      <c r="E2212">
        <v>2873</v>
      </c>
      <c r="F2212">
        <v>1551</v>
      </c>
      <c r="G2212" s="1">
        <v>0.53990000000000005</v>
      </c>
      <c r="H2212">
        <v>5</v>
      </c>
      <c r="I2212">
        <v>2866</v>
      </c>
    </row>
    <row r="2213" spans="1:9" x14ac:dyDescent="0.35">
      <c r="A2213" t="s">
        <v>9</v>
      </c>
      <c r="B2213" t="s">
        <v>2119</v>
      </c>
      <c r="C2213" t="s">
        <v>2172</v>
      </c>
      <c r="D2213" t="str">
        <f>"300807"</f>
        <v>300807</v>
      </c>
      <c r="E2213">
        <v>3862</v>
      </c>
      <c r="F2213">
        <v>2270</v>
      </c>
      <c r="G2213" s="1">
        <v>0.58779999999999999</v>
      </c>
      <c r="H2213">
        <v>6</v>
      </c>
      <c r="I2213">
        <v>3847</v>
      </c>
    </row>
    <row r="2214" spans="1:9" x14ac:dyDescent="0.35">
      <c r="A2214" t="s">
        <v>9</v>
      </c>
      <c r="B2214" t="s">
        <v>2119</v>
      </c>
      <c r="C2214" t="s">
        <v>2173</v>
      </c>
      <c r="D2214" t="str">
        <f>"300901"</f>
        <v>300901</v>
      </c>
      <c r="E2214">
        <v>15350</v>
      </c>
      <c r="F2214">
        <v>8700</v>
      </c>
      <c r="G2214" s="1">
        <v>0.56679999999999997</v>
      </c>
      <c r="H2214">
        <v>12</v>
      </c>
      <c r="I2214">
        <v>15166</v>
      </c>
    </row>
    <row r="2215" spans="1:9" x14ac:dyDescent="0.35">
      <c r="A2215" t="s">
        <v>9</v>
      </c>
      <c r="B2215" t="s">
        <v>2119</v>
      </c>
      <c r="C2215" t="s">
        <v>2174</v>
      </c>
      <c r="D2215" t="str">
        <f>"300902"</f>
        <v>300902</v>
      </c>
      <c r="E2215">
        <v>5913</v>
      </c>
      <c r="F2215">
        <v>3158</v>
      </c>
      <c r="G2215" s="1">
        <v>0.53410000000000002</v>
      </c>
      <c r="H2215">
        <v>5</v>
      </c>
      <c r="I2215">
        <v>5880</v>
      </c>
    </row>
    <row r="2216" spans="1:9" x14ac:dyDescent="0.35">
      <c r="A2216" t="s">
        <v>9</v>
      </c>
      <c r="B2216" t="s">
        <v>2119</v>
      </c>
      <c r="C2216" t="s">
        <v>2175</v>
      </c>
      <c r="D2216" t="str">
        <f>"300903"</f>
        <v>300903</v>
      </c>
      <c r="E2216">
        <v>2368</v>
      </c>
      <c r="F2216">
        <v>1276</v>
      </c>
      <c r="G2216" s="1">
        <v>0.53890000000000005</v>
      </c>
      <c r="H2216">
        <v>4</v>
      </c>
      <c r="I2216">
        <v>2360</v>
      </c>
    </row>
    <row r="2217" spans="1:9" x14ac:dyDescent="0.35">
      <c r="A2217" t="s">
        <v>9</v>
      </c>
      <c r="B2217" t="s">
        <v>2119</v>
      </c>
      <c r="C2217" t="s">
        <v>548</v>
      </c>
      <c r="D2217" t="str">
        <f>"300904"</f>
        <v>300904</v>
      </c>
      <c r="E2217">
        <v>4736</v>
      </c>
      <c r="F2217">
        <v>2598</v>
      </c>
      <c r="G2217" s="1">
        <v>0.54859999999999998</v>
      </c>
      <c r="H2217">
        <v>5</v>
      </c>
      <c r="I2217">
        <v>4725</v>
      </c>
    </row>
    <row r="2218" spans="1:9" x14ac:dyDescent="0.35">
      <c r="A2218" t="s">
        <v>9</v>
      </c>
      <c r="B2218" t="s">
        <v>2119</v>
      </c>
      <c r="C2218" t="s">
        <v>2176</v>
      </c>
      <c r="D2218" t="str">
        <f>"300905"</f>
        <v>300905</v>
      </c>
      <c r="E2218">
        <v>4298</v>
      </c>
      <c r="F2218">
        <v>2410</v>
      </c>
      <c r="G2218" s="1">
        <v>0.56069999999999998</v>
      </c>
      <c r="H2218">
        <v>7</v>
      </c>
      <c r="I2218">
        <v>4289</v>
      </c>
    </row>
    <row r="2219" spans="1:9" x14ac:dyDescent="0.35">
      <c r="A2219" t="s">
        <v>9</v>
      </c>
      <c r="B2219" t="s">
        <v>2119</v>
      </c>
      <c r="C2219" t="s">
        <v>541</v>
      </c>
      <c r="D2219" t="str">
        <f>"300906"</f>
        <v>300906</v>
      </c>
      <c r="E2219">
        <v>9449</v>
      </c>
      <c r="F2219">
        <v>4920</v>
      </c>
      <c r="G2219" s="1">
        <v>0.52070000000000005</v>
      </c>
      <c r="H2219">
        <v>11</v>
      </c>
      <c r="I2219">
        <v>9435</v>
      </c>
    </row>
    <row r="2220" spans="1:9" x14ac:dyDescent="0.35">
      <c r="A2220" t="s">
        <v>9</v>
      </c>
      <c r="B2220" t="s">
        <v>2119</v>
      </c>
      <c r="C2220" t="s">
        <v>2177</v>
      </c>
      <c r="D2220" t="str">
        <f>"300907"</f>
        <v>300907</v>
      </c>
      <c r="E2220">
        <v>6016</v>
      </c>
      <c r="F2220">
        <v>3449</v>
      </c>
      <c r="G2220" s="1">
        <v>0.57330000000000003</v>
      </c>
      <c r="H2220">
        <v>7</v>
      </c>
      <c r="I2220">
        <v>5989</v>
      </c>
    </row>
    <row r="2221" spans="1:9" x14ac:dyDescent="0.35">
      <c r="A2221" t="s">
        <v>9</v>
      </c>
      <c r="B2221" t="s">
        <v>2119</v>
      </c>
      <c r="C2221" t="s">
        <v>2178</v>
      </c>
      <c r="D2221" t="str">
        <f>"300908"</f>
        <v>300908</v>
      </c>
      <c r="E2221">
        <v>5216</v>
      </c>
      <c r="F2221">
        <v>3057</v>
      </c>
      <c r="G2221" s="1">
        <v>0.58609999999999995</v>
      </c>
      <c r="H2221">
        <v>4</v>
      </c>
      <c r="I2221">
        <v>5204</v>
      </c>
    </row>
    <row r="2222" spans="1:9" x14ac:dyDescent="0.35">
      <c r="A2222" t="s">
        <v>9</v>
      </c>
      <c r="B2222" t="s">
        <v>2119</v>
      </c>
      <c r="C2222" t="s">
        <v>2179</v>
      </c>
      <c r="D2222" t="str">
        <f>"300909"</f>
        <v>300909</v>
      </c>
      <c r="E2222">
        <v>3409</v>
      </c>
      <c r="F2222">
        <v>1803</v>
      </c>
      <c r="G2222" s="1">
        <v>0.52890000000000004</v>
      </c>
      <c r="H2222">
        <v>4</v>
      </c>
      <c r="I2222">
        <v>3382</v>
      </c>
    </row>
    <row r="2223" spans="1:9" x14ac:dyDescent="0.35">
      <c r="A2223" t="s">
        <v>9</v>
      </c>
      <c r="B2223" t="s">
        <v>2119</v>
      </c>
      <c r="C2223" t="s">
        <v>2180</v>
      </c>
      <c r="D2223" t="str">
        <f>"300910"</f>
        <v>300910</v>
      </c>
      <c r="E2223">
        <v>4740</v>
      </c>
      <c r="F2223">
        <v>2600</v>
      </c>
      <c r="G2223" s="1">
        <v>0.54849999999999999</v>
      </c>
      <c r="H2223">
        <v>3</v>
      </c>
      <c r="I2223">
        <v>4737</v>
      </c>
    </row>
    <row r="2224" spans="1:9" x14ac:dyDescent="0.35">
      <c r="A2224" t="s">
        <v>9</v>
      </c>
      <c r="B2224" t="s">
        <v>2119</v>
      </c>
      <c r="C2224" t="s">
        <v>2181</v>
      </c>
      <c r="D2224" t="str">
        <f>"300911"</f>
        <v>300911</v>
      </c>
      <c r="E2224">
        <v>3137</v>
      </c>
      <c r="F2224">
        <v>1710</v>
      </c>
      <c r="G2224" s="1">
        <v>0.54510000000000003</v>
      </c>
      <c r="H2224">
        <v>3</v>
      </c>
      <c r="I2224">
        <v>3122</v>
      </c>
    </row>
    <row r="2225" spans="1:9" x14ac:dyDescent="0.35">
      <c r="A2225" t="s">
        <v>9</v>
      </c>
      <c r="B2225" t="s">
        <v>2119</v>
      </c>
      <c r="C2225" t="s">
        <v>2182</v>
      </c>
      <c r="D2225" t="str">
        <f>"301001"</f>
        <v>301001</v>
      </c>
      <c r="E2225">
        <v>9470</v>
      </c>
      <c r="F2225">
        <v>5205</v>
      </c>
      <c r="G2225" s="1">
        <v>0.54959999999999998</v>
      </c>
      <c r="H2225">
        <v>7</v>
      </c>
      <c r="I2225">
        <v>9448</v>
      </c>
    </row>
    <row r="2226" spans="1:9" x14ac:dyDescent="0.35">
      <c r="A2226" t="s">
        <v>9</v>
      </c>
      <c r="B2226" t="s">
        <v>2119</v>
      </c>
      <c r="C2226" t="s">
        <v>2183</v>
      </c>
      <c r="D2226" t="str">
        <f>"301002"</f>
        <v>301002</v>
      </c>
      <c r="E2226">
        <v>3901</v>
      </c>
      <c r="F2226">
        <v>2013</v>
      </c>
      <c r="G2226" s="1">
        <v>0.51600000000000001</v>
      </c>
      <c r="H2226">
        <v>4</v>
      </c>
      <c r="I2226">
        <v>3888</v>
      </c>
    </row>
    <row r="2227" spans="1:9" x14ac:dyDescent="0.35">
      <c r="A2227" t="s">
        <v>9</v>
      </c>
      <c r="B2227" t="s">
        <v>2119</v>
      </c>
      <c r="C2227" t="s">
        <v>2184</v>
      </c>
      <c r="D2227" t="str">
        <f>"301003"</f>
        <v>301003</v>
      </c>
      <c r="E2227">
        <v>8873</v>
      </c>
      <c r="F2227">
        <v>5123</v>
      </c>
      <c r="G2227" s="1">
        <v>0.57740000000000002</v>
      </c>
      <c r="H2227">
        <v>11</v>
      </c>
      <c r="I2227">
        <v>8803</v>
      </c>
    </row>
    <row r="2228" spans="1:9" x14ac:dyDescent="0.35">
      <c r="A2228" t="s">
        <v>9</v>
      </c>
      <c r="B2228" t="s">
        <v>2119</v>
      </c>
      <c r="C2228" t="s">
        <v>2185</v>
      </c>
      <c r="D2228" t="str">
        <f>"301004"</f>
        <v>301004</v>
      </c>
      <c r="E2228">
        <v>7612</v>
      </c>
      <c r="F2228">
        <v>4358</v>
      </c>
      <c r="G2228" s="1">
        <v>0.57250000000000001</v>
      </c>
      <c r="H2228">
        <v>9</v>
      </c>
      <c r="I2228">
        <v>7577</v>
      </c>
    </row>
    <row r="2229" spans="1:9" x14ac:dyDescent="0.35">
      <c r="A2229" t="s">
        <v>9</v>
      </c>
      <c r="B2229" t="s">
        <v>2119</v>
      </c>
      <c r="C2229" t="s">
        <v>2186</v>
      </c>
      <c r="D2229" t="str">
        <f>"301005"</f>
        <v>301005</v>
      </c>
      <c r="E2229">
        <v>8823</v>
      </c>
      <c r="F2229">
        <v>5050</v>
      </c>
      <c r="G2229" s="1">
        <v>0.57240000000000002</v>
      </c>
      <c r="H2229">
        <v>12</v>
      </c>
      <c r="I2229">
        <v>8804</v>
      </c>
    </row>
    <row r="2230" spans="1:9" x14ac:dyDescent="0.35">
      <c r="A2230" t="s">
        <v>9</v>
      </c>
      <c r="B2230" t="s">
        <v>2119</v>
      </c>
      <c r="C2230" t="s">
        <v>2187</v>
      </c>
      <c r="D2230" t="str">
        <f>"301006"</f>
        <v>301006</v>
      </c>
      <c r="E2230">
        <v>6264</v>
      </c>
      <c r="F2230">
        <v>3492</v>
      </c>
      <c r="G2230" s="1">
        <v>0.5575</v>
      </c>
      <c r="H2230">
        <v>6</v>
      </c>
      <c r="I2230">
        <v>6247</v>
      </c>
    </row>
    <row r="2231" spans="1:9" x14ac:dyDescent="0.35">
      <c r="A2231" t="s">
        <v>9</v>
      </c>
      <c r="B2231" t="s">
        <v>2119</v>
      </c>
      <c r="C2231" t="s">
        <v>2188</v>
      </c>
      <c r="D2231" t="str">
        <f>"301007"</f>
        <v>301007</v>
      </c>
      <c r="E2231">
        <v>6348</v>
      </c>
      <c r="F2231">
        <v>3465</v>
      </c>
      <c r="G2231" s="1">
        <v>0.54579999999999995</v>
      </c>
      <c r="H2231">
        <v>7</v>
      </c>
      <c r="I2231">
        <v>6316</v>
      </c>
    </row>
    <row r="2232" spans="1:9" x14ac:dyDescent="0.35">
      <c r="A2232" t="s">
        <v>9</v>
      </c>
      <c r="B2232" t="s">
        <v>2119</v>
      </c>
      <c r="C2232" t="s">
        <v>666</v>
      </c>
      <c r="D2232" t="str">
        <f>"301008"</f>
        <v>301008</v>
      </c>
      <c r="E2232">
        <v>5572</v>
      </c>
      <c r="F2232">
        <v>2706</v>
      </c>
      <c r="G2232" s="1">
        <v>0.48559999999999998</v>
      </c>
      <c r="H2232">
        <v>4</v>
      </c>
      <c r="I2232">
        <v>5568</v>
      </c>
    </row>
    <row r="2233" spans="1:9" x14ac:dyDescent="0.35">
      <c r="A2233" t="s">
        <v>9</v>
      </c>
      <c r="B2233" t="s">
        <v>2119</v>
      </c>
      <c r="C2233" t="s">
        <v>2189</v>
      </c>
      <c r="D2233" t="str">
        <f>"301009"</f>
        <v>301009</v>
      </c>
      <c r="E2233">
        <v>4653</v>
      </c>
      <c r="F2233">
        <v>2361</v>
      </c>
      <c r="G2233" s="1">
        <v>0.50739999999999996</v>
      </c>
      <c r="H2233">
        <v>9</v>
      </c>
      <c r="I2233">
        <v>4639</v>
      </c>
    </row>
    <row r="2234" spans="1:9" x14ac:dyDescent="0.35">
      <c r="A2234" t="s">
        <v>9</v>
      </c>
      <c r="B2234" t="s">
        <v>2119</v>
      </c>
      <c r="C2234" t="s">
        <v>2190</v>
      </c>
      <c r="D2234" t="str">
        <f>"301010"</f>
        <v>301010</v>
      </c>
      <c r="E2234">
        <v>7925</v>
      </c>
      <c r="F2234">
        <v>4298</v>
      </c>
      <c r="G2234" s="1">
        <v>0.5423</v>
      </c>
      <c r="H2234">
        <v>7</v>
      </c>
      <c r="I2234">
        <v>7920</v>
      </c>
    </row>
    <row r="2235" spans="1:9" x14ac:dyDescent="0.35">
      <c r="A2235" t="s">
        <v>9</v>
      </c>
      <c r="B2235" t="s">
        <v>2119</v>
      </c>
      <c r="C2235" t="s">
        <v>2191</v>
      </c>
      <c r="D2235" t="str">
        <f>"301011"</f>
        <v>301011</v>
      </c>
      <c r="E2235">
        <v>9535</v>
      </c>
      <c r="F2235">
        <v>5499</v>
      </c>
      <c r="G2235" s="1">
        <v>0.57669999999999999</v>
      </c>
      <c r="H2235">
        <v>8</v>
      </c>
      <c r="I2235">
        <v>9473</v>
      </c>
    </row>
    <row r="2236" spans="1:9" x14ac:dyDescent="0.35">
      <c r="A2236" t="s">
        <v>9</v>
      </c>
      <c r="B2236" t="s">
        <v>2119</v>
      </c>
      <c r="C2236" t="s">
        <v>2192</v>
      </c>
      <c r="D2236" t="str">
        <f>"301012"</f>
        <v>301012</v>
      </c>
      <c r="E2236">
        <v>10970</v>
      </c>
      <c r="F2236">
        <v>6335</v>
      </c>
      <c r="G2236" s="1">
        <v>0.57750000000000001</v>
      </c>
      <c r="H2236">
        <v>11</v>
      </c>
      <c r="I2236">
        <v>10828</v>
      </c>
    </row>
    <row r="2237" spans="1:9" x14ac:dyDescent="0.35">
      <c r="A2237" t="s">
        <v>9</v>
      </c>
      <c r="B2237" t="s">
        <v>2119</v>
      </c>
      <c r="C2237" t="s">
        <v>2193</v>
      </c>
      <c r="D2237" t="str">
        <f>"301013"</f>
        <v>301013</v>
      </c>
      <c r="E2237">
        <v>5373</v>
      </c>
      <c r="F2237">
        <v>2868</v>
      </c>
      <c r="G2237" s="1">
        <v>0.53380000000000005</v>
      </c>
      <c r="H2237">
        <v>8</v>
      </c>
      <c r="I2237">
        <v>5352</v>
      </c>
    </row>
    <row r="2238" spans="1:9" x14ac:dyDescent="0.35">
      <c r="A2238" t="s">
        <v>9</v>
      </c>
      <c r="B2238" t="s">
        <v>2119</v>
      </c>
      <c r="C2238" t="s">
        <v>2194</v>
      </c>
      <c r="D2238" t="str">
        <f>"301014"</f>
        <v>301014</v>
      </c>
      <c r="E2238">
        <v>4597</v>
      </c>
      <c r="F2238">
        <v>2457</v>
      </c>
      <c r="G2238" s="1">
        <v>0.53449999999999998</v>
      </c>
      <c r="H2238">
        <v>7</v>
      </c>
      <c r="I2238">
        <v>4552</v>
      </c>
    </row>
    <row r="2239" spans="1:9" x14ac:dyDescent="0.35">
      <c r="A2239" t="s">
        <v>9</v>
      </c>
      <c r="B2239" t="s">
        <v>2119</v>
      </c>
      <c r="C2239" t="s">
        <v>2195</v>
      </c>
      <c r="D2239" t="str">
        <f>"301101"</f>
        <v>301101</v>
      </c>
      <c r="E2239">
        <v>18138</v>
      </c>
      <c r="F2239">
        <v>11089</v>
      </c>
      <c r="G2239" s="1">
        <v>0.61140000000000005</v>
      </c>
      <c r="H2239">
        <v>12</v>
      </c>
      <c r="I2239">
        <v>17945</v>
      </c>
    </row>
    <row r="2240" spans="1:9" x14ac:dyDescent="0.35">
      <c r="A2240" t="s">
        <v>9</v>
      </c>
      <c r="B2240" t="s">
        <v>2119</v>
      </c>
      <c r="C2240" t="s">
        <v>2196</v>
      </c>
      <c r="D2240" t="str">
        <f>"301102"</f>
        <v>301102</v>
      </c>
      <c r="E2240">
        <v>9189</v>
      </c>
      <c r="F2240">
        <v>5301</v>
      </c>
      <c r="G2240" s="1">
        <v>0.57689999999999997</v>
      </c>
      <c r="H2240">
        <v>13</v>
      </c>
      <c r="I2240">
        <v>8936</v>
      </c>
    </row>
    <row r="2241" spans="1:9" x14ac:dyDescent="0.35">
      <c r="A2241" t="s">
        <v>9</v>
      </c>
      <c r="B2241" t="s">
        <v>2119</v>
      </c>
      <c r="C2241" t="s">
        <v>2197</v>
      </c>
      <c r="D2241" t="str">
        <f>"301103"</f>
        <v>301103</v>
      </c>
      <c r="E2241">
        <v>12329</v>
      </c>
      <c r="F2241">
        <v>6777</v>
      </c>
      <c r="G2241" s="1">
        <v>0.54969999999999997</v>
      </c>
      <c r="H2241">
        <v>12</v>
      </c>
      <c r="I2241">
        <v>12239</v>
      </c>
    </row>
    <row r="2242" spans="1:9" x14ac:dyDescent="0.35">
      <c r="A2242" t="s">
        <v>9</v>
      </c>
      <c r="B2242" t="s">
        <v>2119</v>
      </c>
      <c r="C2242" t="s">
        <v>2198</v>
      </c>
      <c r="D2242" t="str">
        <f>"301104"</f>
        <v>301104</v>
      </c>
      <c r="E2242">
        <v>7442</v>
      </c>
      <c r="F2242">
        <v>4195</v>
      </c>
      <c r="G2242" s="1">
        <v>0.56369999999999998</v>
      </c>
      <c r="H2242">
        <v>18</v>
      </c>
      <c r="I2242">
        <v>7420</v>
      </c>
    </row>
    <row r="2243" spans="1:9" x14ac:dyDescent="0.35">
      <c r="A2243" t="s">
        <v>9</v>
      </c>
      <c r="B2243" t="s">
        <v>2119</v>
      </c>
      <c r="C2243" t="s">
        <v>2199</v>
      </c>
      <c r="D2243" t="str">
        <f>"301105"</f>
        <v>301105</v>
      </c>
      <c r="E2243">
        <v>13010</v>
      </c>
      <c r="F2243">
        <v>7284</v>
      </c>
      <c r="G2243" s="1">
        <v>0.55989999999999995</v>
      </c>
      <c r="H2243">
        <v>21</v>
      </c>
      <c r="I2243">
        <v>12953</v>
      </c>
    </row>
    <row r="2244" spans="1:9" x14ac:dyDescent="0.35">
      <c r="A2244" t="s">
        <v>9</v>
      </c>
      <c r="B2244" t="s">
        <v>2119</v>
      </c>
      <c r="C2244" t="s">
        <v>2200</v>
      </c>
      <c r="D2244" t="str">
        <f>"301201"</f>
        <v>301201</v>
      </c>
      <c r="E2244">
        <v>2091</v>
      </c>
      <c r="F2244">
        <v>1115</v>
      </c>
      <c r="G2244" s="1">
        <v>0.53320000000000001</v>
      </c>
      <c r="H2244">
        <v>1</v>
      </c>
      <c r="I2244">
        <v>2074</v>
      </c>
    </row>
    <row r="2245" spans="1:9" x14ac:dyDescent="0.35">
      <c r="A2245" t="s">
        <v>9</v>
      </c>
      <c r="B2245" t="s">
        <v>2119</v>
      </c>
      <c r="C2245" t="s">
        <v>2201</v>
      </c>
      <c r="D2245" t="str">
        <f>"301202"</f>
        <v>301202</v>
      </c>
      <c r="E2245">
        <v>5998</v>
      </c>
      <c r="F2245">
        <v>3266</v>
      </c>
      <c r="G2245" s="1">
        <v>0.54449999999999998</v>
      </c>
      <c r="H2245">
        <v>10</v>
      </c>
      <c r="I2245">
        <v>5972</v>
      </c>
    </row>
    <row r="2246" spans="1:9" x14ac:dyDescent="0.35">
      <c r="A2246" t="s">
        <v>9</v>
      </c>
      <c r="B2246" t="s">
        <v>2119</v>
      </c>
      <c r="C2246" t="s">
        <v>2202</v>
      </c>
      <c r="D2246" t="str">
        <f>"301203"</f>
        <v>301203</v>
      </c>
      <c r="E2246">
        <v>9853</v>
      </c>
      <c r="F2246">
        <v>5292</v>
      </c>
      <c r="G2246" s="1">
        <v>0.53710000000000002</v>
      </c>
      <c r="H2246">
        <v>8</v>
      </c>
      <c r="I2246">
        <v>9826</v>
      </c>
    </row>
    <row r="2247" spans="1:9" x14ac:dyDescent="0.35">
      <c r="A2247" t="s">
        <v>9</v>
      </c>
      <c r="B2247" t="s">
        <v>2119</v>
      </c>
      <c r="C2247" t="s">
        <v>2203</v>
      </c>
      <c r="D2247" t="str">
        <f>"301204"</f>
        <v>301204</v>
      </c>
      <c r="E2247">
        <v>29640</v>
      </c>
      <c r="F2247">
        <v>17259</v>
      </c>
      <c r="G2247" s="1">
        <v>0.58230000000000004</v>
      </c>
      <c r="H2247">
        <v>33</v>
      </c>
      <c r="I2247">
        <v>29535</v>
      </c>
    </row>
    <row r="2248" spans="1:9" x14ac:dyDescent="0.35">
      <c r="A2248" t="s">
        <v>9</v>
      </c>
      <c r="B2248" t="s">
        <v>2119</v>
      </c>
      <c r="C2248" t="s">
        <v>2204</v>
      </c>
      <c r="D2248" t="str">
        <f>"301205"</f>
        <v>301205</v>
      </c>
      <c r="E2248">
        <v>3846</v>
      </c>
      <c r="F2248">
        <v>2145</v>
      </c>
      <c r="G2248" s="1">
        <v>0.55769999999999997</v>
      </c>
      <c r="H2248">
        <v>7</v>
      </c>
      <c r="I2248">
        <v>3837</v>
      </c>
    </row>
    <row r="2249" spans="1:9" x14ac:dyDescent="0.35">
      <c r="A2249" t="s">
        <v>9</v>
      </c>
      <c r="B2249" t="s">
        <v>2119</v>
      </c>
      <c r="C2249" t="s">
        <v>661</v>
      </c>
      <c r="D2249" t="str">
        <f>"301206"</f>
        <v>301206</v>
      </c>
      <c r="E2249">
        <v>5457</v>
      </c>
      <c r="F2249">
        <v>2868</v>
      </c>
      <c r="G2249" s="1">
        <v>0.52559999999999996</v>
      </c>
      <c r="H2249">
        <v>7</v>
      </c>
      <c r="I2249">
        <v>5455</v>
      </c>
    </row>
    <row r="2250" spans="1:9" x14ac:dyDescent="0.35">
      <c r="A2250" t="s">
        <v>9</v>
      </c>
      <c r="B2250" t="s">
        <v>2119</v>
      </c>
      <c r="C2250" t="s">
        <v>2205</v>
      </c>
      <c r="D2250" t="str">
        <f>"301301"</f>
        <v>301301</v>
      </c>
      <c r="E2250">
        <v>6230</v>
      </c>
      <c r="F2250">
        <v>3363</v>
      </c>
      <c r="G2250" s="1">
        <v>0.53979999999999995</v>
      </c>
      <c r="H2250">
        <v>7</v>
      </c>
      <c r="I2250">
        <v>6219</v>
      </c>
    </row>
    <row r="2251" spans="1:9" x14ac:dyDescent="0.35">
      <c r="A2251" t="s">
        <v>9</v>
      </c>
      <c r="B2251" t="s">
        <v>2119</v>
      </c>
      <c r="C2251" t="s">
        <v>241</v>
      </c>
      <c r="D2251" t="str">
        <f>"301302"</f>
        <v>301302</v>
      </c>
      <c r="E2251">
        <v>6815</v>
      </c>
      <c r="F2251">
        <v>3739</v>
      </c>
      <c r="G2251" s="1">
        <v>0.54859999999999998</v>
      </c>
      <c r="H2251">
        <v>7</v>
      </c>
      <c r="I2251">
        <v>6791</v>
      </c>
    </row>
    <row r="2252" spans="1:9" x14ac:dyDescent="0.35">
      <c r="A2252" t="s">
        <v>9</v>
      </c>
      <c r="B2252" t="s">
        <v>2119</v>
      </c>
      <c r="C2252" t="s">
        <v>1719</v>
      </c>
      <c r="D2252" t="str">
        <f>"301303"</f>
        <v>301303</v>
      </c>
      <c r="E2252">
        <v>7099</v>
      </c>
      <c r="F2252">
        <v>3959</v>
      </c>
      <c r="G2252" s="1">
        <v>0.55769999999999997</v>
      </c>
      <c r="H2252">
        <v>10</v>
      </c>
      <c r="I2252">
        <v>7078</v>
      </c>
    </row>
    <row r="2253" spans="1:9" x14ac:dyDescent="0.35">
      <c r="A2253" t="s">
        <v>9</v>
      </c>
      <c r="B2253" t="s">
        <v>2119</v>
      </c>
      <c r="C2253" t="s">
        <v>2206</v>
      </c>
      <c r="D2253" t="str">
        <f>"301304"</f>
        <v>301304</v>
      </c>
      <c r="E2253">
        <v>7658</v>
      </c>
      <c r="F2253">
        <v>4707</v>
      </c>
      <c r="G2253" s="1">
        <v>0.61470000000000002</v>
      </c>
      <c r="H2253">
        <v>11</v>
      </c>
      <c r="I2253">
        <v>7632</v>
      </c>
    </row>
    <row r="2254" spans="1:9" x14ac:dyDescent="0.35">
      <c r="A2254" t="s">
        <v>9</v>
      </c>
      <c r="B2254" t="s">
        <v>2119</v>
      </c>
      <c r="C2254" t="s">
        <v>2207</v>
      </c>
      <c r="D2254" t="str">
        <f>"301305"</f>
        <v>301305</v>
      </c>
      <c r="E2254">
        <v>6292</v>
      </c>
      <c r="F2254">
        <v>3468</v>
      </c>
      <c r="G2254" s="1">
        <v>0.55120000000000002</v>
      </c>
      <c r="H2254">
        <v>4</v>
      </c>
      <c r="I2254">
        <v>6245</v>
      </c>
    </row>
    <row r="2255" spans="1:9" x14ac:dyDescent="0.35">
      <c r="A2255" t="s">
        <v>9</v>
      </c>
      <c r="B2255" t="s">
        <v>2119</v>
      </c>
      <c r="C2255" t="s">
        <v>2208</v>
      </c>
      <c r="D2255" t="str">
        <f>"301306"</f>
        <v>301306</v>
      </c>
      <c r="E2255">
        <v>2836</v>
      </c>
      <c r="F2255">
        <v>1627</v>
      </c>
      <c r="G2255" s="1">
        <v>0.57369999999999999</v>
      </c>
      <c r="H2255">
        <v>2</v>
      </c>
      <c r="I2255">
        <v>2806</v>
      </c>
    </row>
    <row r="2256" spans="1:9" x14ac:dyDescent="0.35">
      <c r="A2256" t="s">
        <v>9</v>
      </c>
      <c r="B2256" t="s">
        <v>2119</v>
      </c>
      <c r="C2256" t="s">
        <v>2209</v>
      </c>
      <c r="D2256" t="str">
        <f>"301307"</f>
        <v>301307</v>
      </c>
      <c r="E2256">
        <v>7478</v>
      </c>
      <c r="F2256">
        <v>3887</v>
      </c>
      <c r="G2256" s="1">
        <v>0.51980000000000004</v>
      </c>
      <c r="H2256">
        <v>6</v>
      </c>
      <c r="I2256">
        <v>7403</v>
      </c>
    </row>
    <row r="2257" spans="1:9" x14ac:dyDescent="0.35">
      <c r="A2257" t="s">
        <v>9</v>
      </c>
      <c r="B2257" t="s">
        <v>2119</v>
      </c>
      <c r="C2257" t="s">
        <v>2210</v>
      </c>
      <c r="D2257" t="str">
        <f>"301401"</f>
        <v>301401</v>
      </c>
      <c r="E2257">
        <v>2515</v>
      </c>
      <c r="F2257">
        <v>1380</v>
      </c>
      <c r="G2257" s="1">
        <v>0.54869999999999997</v>
      </c>
      <c r="H2257">
        <v>2</v>
      </c>
      <c r="I2257">
        <v>2495</v>
      </c>
    </row>
    <row r="2258" spans="1:9" x14ac:dyDescent="0.35">
      <c r="A2258" t="s">
        <v>9</v>
      </c>
      <c r="B2258" t="s">
        <v>2119</v>
      </c>
      <c r="C2258" t="s">
        <v>2211</v>
      </c>
      <c r="D2258" t="str">
        <f>"301402"</f>
        <v>301402</v>
      </c>
      <c r="E2258">
        <v>4835</v>
      </c>
      <c r="F2258">
        <v>2644</v>
      </c>
      <c r="G2258" s="1">
        <v>0.54679999999999995</v>
      </c>
      <c r="H2258">
        <v>3</v>
      </c>
      <c r="I2258">
        <v>4822</v>
      </c>
    </row>
    <row r="2259" spans="1:9" x14ac:dyDescent="0.35">
      <c r="A2259" t="s">
        <v>9</v>
      </c>
      <c r="B2259" t="s">
        <v>2119</v>
      </c>
      <c r="C2259" t="s">
        <v>2212</v>
      </c>
      <c r="D2259" t="str">
        <f>"301403"</f>
        <v>301403</v>
      </c>
      <c r="E2259">
        <v>13638</v>
      </c>
      <c r="F2259">
        <v>7998</v>
      </c>
      <c r="G2259" s="1">
        <v>0.58640000000000003</v>
      </c>
      <c r="H2259">
        <v>15</v>
      </c>
      <c r="I2259">
        <v>13552</v>
      </c>
    </row>
    <row r="2260" spans="1:9" x14ac:dyDescent="0.35">
      <c r="A2260" t="s">
        <v>9</v>
      </c>
      <c r="B2260" t="s">
        <v>2119</v>
      </c>
      <c r="C2260" t="s">
        <v>2213</v>
      </c>
      <c r="D2260" t="str">
        <f>"301404"</f>
        <v>301404</v>
      </c>
      <c r="E2260">
        <v>6474</v>
      </c>
      <c r="F2260">
        <v>3481</v>
      </c>
      <c r="G2260" s="1">
        <v>0.53769999999999996</v>
      </c>
      <c r="H2260">
        <v>4</v>
      </c>
      <c r="I2260">
        <v>6414</v>
      </c>
    </row>
    <row r="2261" spans="1:9" x14ac:dyDescent="0.35">
      <c r="A2261" t="s">
        <v>9</v>
      </c>
      <c r="B2261" t="s">
        <v>2119</v>
      </c>
      <c r="C2261" t="s">
        <v>2214</v>
      </c>
      <c r="D2261" t="str">
        <f>"301501"</f>
        <v>301501</v>
      </c>
      <c r="E2261">
        <v>4020</v>
      </c>
      <c r="F2261">
        <v>2116</v>
      </c>
      <c r="G2261" s="1">
        <v>0.52639999999999998</v>
      </c>
      <c r="H2261">
        <v>3</v>
      </c>
      <c r="I2261">
        <v>3992</v>
      </c>
    </row>
    <row r="2262" spans="1:9" x14ac:dyDescent="0.35">
      <c r="A2262" t="s">
        <v>9</v>
      </c>
      <c r="B2262" t="s">
        <v>2119</v>
      </c>
      <c r="C2262" t="s">
        <v>2215</v>
      </c>
      <c r="D2262" t="str">
        <f>"301502"</f>
        <v>301502</v>
      </c>
      <c r="E2262">
        <v>6765</v>
      </c>
      <c r="F2262">
        <v>3706</v>
      </c>
      <c r="G2262" s="1">
        <v>0.54779999999999995</v>
      </c>
      <c r="H2262">
        <v>8</v>
      </c>
      <c r="I2262">
        <v>6729</v>
      </c>
    </row>
    <row r="2263" spans="1:9" x14ac:dyDescent="0.35">
      <c r="A2263" t="s">
        <v>9</v>
      </c>
      <c r="B2263" t="s">
        <v>2119</v>
      </c>
      <c r="C2263" t="s">
        <v>2216</v>
      </c>
      <c r="D2263" t="str">
        <f>"301503"</f>
        <v>301503</v>
      </c>
      <c r="E2263">
        <v>2996</v>
      </c>
      <c r="F2263">
        <v>1725</v>
      </c>
      <c r="G2263" s="1">
        <v>0.57579999999999998</v>
      </c>
      <c r="H2263">
        <v>2</v>
      </c>
      <c r="I2263">
        <v>2970</v>
      </c>
    </row>
    <row r="2264" spans="1:9" x14ac:dyDescent="0.35">
      <c r="A2264" t="s">
        <v>9</v>
      </c>
      <c r="B2264" t="s">
        <v>2119</v>
      </c>
      <c r="C2264" t="s">
        <v>2217</v>
      </c>
      <c r="D2264" t="str">
        <f>"301504"</f>
        <v>301504</v>
      </c>
      <c r="E2264">
        <v>19991</v>
      </c>
      <c r="F2264">
        <v>11301</v>
      </c>
      <c r="G2264" s="1">
        <v>0.56530000000000002</v>
      </c>
      <c r="H2264">
        <v>18</v>
      </c>
      <c r="I2264">
        <v>19949</v>
      </c>
    </row>
    <row r="2265" spans="1:9" x14ac:dyDescent="0.35">
      <c r="A2265" t="s">
        <v>9</v>
      </c>
      <c r="B2265" t="s">
        <v>2119</v>
      </c>
      <c r="C2265" t="s">
        <v>2218</v>
      </c>
      <c r="D2265" t="str">
        <f>"301505"</f>
        <v>301505</v>
      </c>
      <c r="E2265">
        <v>12249</v>
      </c>
      <c r="F2265">
        <v>6916</v>
      </c>
      <c r="G2265" s="1">
        <v>0.56459999999999999</v>
      </c>
      <c r="H2265">
        <v>11</v>
      </c>
      <c r="I2265">
        <v>12155</v>
      </c>
    </row>
    <row r="2266" spans="1:9" x14ac:dyDescent="0.35">
      <c r="A2266" t="s">
        <v>9</v>
      </c>
      <c r="B2266" t="s">
        <v>2119</v>
      </c>
      <c r="C2266" t="s">
        <v>2219</v>
      </c>
      <c r="D2266" t="str">
        <f>"301506"</f>
        <v>301506</v>
      </c>
      <c r="E2266">
        <v>10295</v>
      </c>
      <c r="F2266">
        <v>6137</v>
      </c>
      <c r="G2266" s="1">
        <v>0.59609999999999996</v>
      </c>
      <c r="H2266">
        <v>13</v>
      </c>
      <c r="I2266">
        <v>10256</v>
      </c>
    </row>
    <row r="2267" spans="1:9" x14ac:dyDescent="0.35">
      <c r="A2267" t="s">
        <v>9</v>
      </c>
      <c r="B2267" t="s">
        <v>2119</v>
      </c>
      <c r="C2267" t="s">
        <v>2220</v>
      </c>
      <c r="D2267" t="str">
        <f>"301601"</f>
        <v>301601</v>
      </c>
      <c r="E2267">
        <v>25028</v>
      </c>
      <c r="F2267">
        <v>15125</v>
      </c>
      <c r="G2267" s="1">
        <v>0.60429999999999995</v>
      </c>
      <c r="H2267">
        <v>34</v>
      </c>
      <c r="I2267">
        <v>24662</v>
      </c>
    </row>
    <row r="2268" spans="1:9" x14ac:dyDescent="0.35">
      <c r="A2268" t="s">
        <v>9</v>
      </c>
      <c r="B2268" t="s">
        <v>2119</v>
      </c>
      <c r="C2268" t="s">
        <v>2221</v>
      </c>
      <c r="D2268" t="str">
        <f>"301602"</f>
        <v>301602</v>
      </c>
      <c r="E2268">
        <v>13073</v>
      </c>
      <c r="F2268">
        <v>7606</v>
      </c>
      <c r="G2268" s="1">
        <v>0.58179999999999998</v>
      </c>
      <c r="H2268">
        <v>21</v>
      </c>
      <c r="I2268">
        <v>12983</v>
      </c>
    </row>
    <row r="2269" spans="1:9" x14ac:dyDescent="0.35">
      <c r="A2269" t="s">
        <v>9</v>
      </c>
      <c r="B2269" t="s">
        <v>2119</v>
      </c>
      <c r="C2269" t="s">
        <v>2222</v>
      </c>
      <c r="D2269" t="str">
        <f>"301603"</f>
        <v>301603</v>
      </c>
      <c r="E2269">
        <v>5321</v>
      </c>
      <c r="F2269">
        <v>2971</v>
      </c>
      <c r="G2269" s="1">
        <v>0.55840000000000001</v>
      </c>
      <c r="H2269">
        <v>9</v>
      </c>
      <c r="I2269">
        <v>5286</v>
      </c>
    </row>
    <row r="2270" spans="1:9" x14ac:dyDescent="0.35">
      <c r="A2270" t="s">
        <v>9</v>
      </c>
      <c r="B2270" t="s">
        <v>2119</v>
      </c>
      <c r="C2270" t="s">
        <v>2223</v>
      </c>
      <c r="D2270" t="str">
        <f>"301701"</f>
        <v>301701</v>
      </c>
      <c r="E2270">
        <v>52699</v>
      </c>
      <c r="F2270">
        <v>30582</v>
      </c>
      <c r="G2270" s="1">
        <v>0.58030000000000004</v>
      </c>
      <c r="H2270">
        <v>39</v>
      </c>
      <c r="I2270">
        <v>52484</v>
      </c>
    </row>
    <row r="2271" spans="1:9" x14ac:dyDescent="0.35">
      <c r="A2271" t="s">
        <v>9</v>
      </c>
      <c r="B2271" t="s">
        <v>2119</v>
      </c>
      <c r="C2271" t="s">
        <v>2224</v>
      </c>
      <c r="D2271" t="str">
        <f>"301702"</f>
        <v>301702</v>
      </c>
      <c r="E2271">
        <v>11902</v>
      </c>
      <c r="F2271">
        <v>6521</v>
      </c>
      <c r="G2271" s="1">
        <v>0.54790000000000005</v>
      </c>
      <c r="H2271">
        <v>13</v>
      </c>
      <c r="I2271">
        <v>11866</v>
      </c>
    </row>
    <row r="2272" spans="1:9" x14ac:dyDescent="0.35">
      <c r="A2272" t="s">
        <v>9</v>
      </c>
      <c r="B2272" t="s">
        <v>2119</v>
      </c>
      <c r="C2272" t="s">
        <v>2225</v>
      </c>
      <c r="D2272" t="str">
        <f>"301703"</f>
        <v>301703</v>
      </c>
      <c r="E2272">
        <v>11142</v>
      </c>
      <c r="F2272">
        <v>6319</v>
      </c>
      <c r="G2272" s="1">
        <v>0.56710000000000005</v>
      </c>
      <c r="H2272">
        <v>18</v>
      </c>
      <c r="I2272">
        <v>11110</v>
      </c>
    </row>
    <row r="2273" spans="1:9" x14ac:dyDescent="0.35">
      <c r="A2273" t="s">
        <v>9</v>
      </c>
      <c r="B2273" t="s">
        <v>2119</v>
      </c>
      <c r="C2273" t="s">
        <v>2226</v>
      </c>
      <c r="D2273" t="str">
        <f>"301704"</f>
        <v>301704</v>
      </c>
      <c r="E2273">
        <v>14775</v>
      </c>
      <c r="F2273">
        <v>8468</v>
      </c>
      <c r="G2273" s="1">
        <v>0.57310000000000005</v>
      </c>
      <c r="H2273">
        <v>25</v>
      </c>
      <c r="I2273">
        <v>14715</v>
      </c>
    </row>
    <row r="2274" spans="1:9" x14ac:dyDescent="0.35">
      <c r="A2274" t="s">
        <v>9</v>
      </c>
      <c r="B2274" t="s">
        <v>2119</v>
      </c>
      <c r="C2274" t="s">
        <v>2227</v>
      </c>
      <c r="D2274" t="str">
        <f>"301705"</f>
        <v>301705</v>
      </c>
      <c r="E2274">
        <v>9537</v>
      </c>
      <c r="F2274">
        <v>5616</v>
      </c>
      <c r="G2274" s="1">
        <v>0.58889999999999998</v>
      </c>
      <c r="H2274">
        <v>12</v>
      </c>
      <c r="I2274">
        <v>9505</v>
      </c>
    </row>
    <row r="2275" spans="1:9" x14ac:dyDescent="0.35">
      <c r="A2275" t="s">
        <v>9</v>
      </c>
      <c r="B2275" t="s">
        <v>2119</v>
      </c>
      <c r="C2275" t="s">
        <v>2228</v>
      </c>
      <c r="D2275" t="str">
        <f>"301706"</f>
        <v>301706</v>
      </c>
      <c r="E2275">
        <v>8867</v>
      </c>
      <c r="F2275">
        <v>4780</v>
      </c>
      <c r="G2275" s="1">
        <v>0.53910000000000002</v>
      </c>
      <c r="H2275">
        <v>15</v>
      </c>
      <c r="I2275">
        <v>8823</v>
      </c>
    </row>
    <row r="2276" spans="1:9" x14ac:dyDescent="0.35">
      <c r="A2276" t="s">
        <v>9</v>
      </c>
      <c r="B2276" t="s">
        <v>2119</v>
      </c>
      <c r="C2276" t="s">
        <v>2229</v>
      </c>
      <c r="D2276" t="str">
        <f>"301707"</f>
        <v>301707</v>
      </c>
      <c r="E2276">
        <v>7245</v>
      </c>
      <c r="F2276">
        <v>4039</v>
      </c>
      <c r="G2276" s="1">
        <v>0.5575</v>
      </c>
      <c r="H2276">
        <v>12</v>
      </c>
      <c r="I2276">
        <v>7237</v>
      </c>
    </row>
    <row r="2277" spans="1:9" x14ac:dyDescent="0.35">
      <c r="A2277" t="s">
        <v>9</v>
      </c>
      <c r="B2277" t="s">
        <v>2119</v>
      </c>
      <c r="C2277" t="s">
        <v>2230</v>
      </c>
      <c r="D2277" t="str">
        <f>"301708"</f>
        <v>301708</v>
      </c>
      <c r="E2277">
        <v>4962</v>
      </c>
      <c r="F2277">
        <v>2664</v>
      </c>
      <c r="G2277" s="1">
        <v>0.53690000000000004</v>
      </c>
      <c r="H2277">
        <v>8</v>
      </c>
      <c r="I2277">
        <v>4940</v>
      </c>
    </row>
    <row r="2278" spans="1:9" x14ac:dyDescent="0.35">
      <c r="A2278" t="s">
        <v>9</v>
      </c>
      <c r="B2278" t="s">
        <v>2119</v>
      </c>
      <c r="C2278" t="s">
        <v>2231</v>
      </c>
      <c r="D2278" t="str">
        <f>"301801"</f>
        <v>301801</v>
      </c>
      <c r="E2278">
        <v>1934</v>
      </c>
      <c r="F2278">
        <v>1146</v>
      </c>
      <c r="G2278" s="1">
        <v>0.59260000000000002</v>
      </c>
      <c r="H2278">
        <v>2</v>
      </c>
      <c r="I2278">
        <v>1918</v>
      </c>
    </row>
    <row r="2279" spans="1:9" x14ac:dyDescent="0.35">
      <c r="A2279" t="s">
        <v>9</v>
      </c>
      <c r="B2279" t="s">
        <v>2119</v>
      </c>
      <c r="C2279" t="s">
        <v>2232</v>
      </c>
      <c r="D2279" t="str">
        <f>"301802"</f>
        <v>301802</v>
      </c>
      <c r="E2279">
        <v>4018</v>
      </c>
      <c r="F2279">
        <v>2297</v>
      </c>
      <c r="G2279" s="1">
        <v>0.57169999999999999</v>
      </c>
      <c r="H2279">
        <v>8</v>
      </c>
      <c r="I2279">
        <v>4005</v>
      </c>
    </row>
    <row r="2280" spans="1:9" x14ac:dyDescent="0.35">
      <c r="A2280" t="s">
        <v>9</v>
      </c>
      <c r="B2280" t="s">
        <v>2119</v>
      </c>
      <c r="C2280" t="s">
        <v>2233</v>
      </c>
      <c r="D2280" t="str">
        <f>"301803"</f>
        <v>301803</v>
      </c>
      <c r="E2280">
        <v>5880</v>
      </c>
      <c r="F2280">
        <v>3317</v>
      </c>
      <c r="G2280" s="1">
        <v>0.56410000000000005</v>
      </c>
      <c r="H2280">
        <v>12</v>
      </c>
      <c r="I2280">
        <v>5835</v>
      </c>
    </row>
    <row r="2281" spans="1:9" x14ac:dyDescent="0.35">
      <c r="A2281" t="s">
        <v>9</v>
      </c>
      <c r="B2281" t="s">
        <v>2119</v>
      </c>
      <c r="C2281" t="s">
        <v>2234</v>
      </c>
      <c r="D2281" t="str">
        <f>"301804"</f>
        <v>301804</v>
      </c>
      <c r="E2281">
        <v>4700</v>
      </c>
      <c r="F2281">
        <v>2658</v>
      </c>
      <c r="G2281" s="1">
        <v>0.5655</v>
      </c>
      <c r="H2281">
        <v>11</v>
      </c>
      <c r="I2281">
        <v>4669</v>
      </c>
    </row>
    <row r="2282" spans="1:9" x14ac:dyDescent="0.35">
      <c r="A2282" t="s">
        <v>9</v>
      </c>
      <c r="B2282" t="s">
        <v>2119</v>
      </c>
      <c r="C2282" t="s">
        <v>2235</v>
      </c>
      <c r="D2282" t="str">
        <f>"301805"</f>
        <v>301805</v>
      </c>
      <c r="E2282">
        <v>2727</v>
      </c>
      <c r="F2282">
        <v>1594</v>
      </c>
      <c r="G2282" s="1">
        <v>0.58450000000000002</v>
      </c>
      <c r="H2282">
        <v>5</v>
      </c>
      <c r="I2282">
        <v>2725</v>
      </c>
    </row>
    <row r="2283" spans="1:9" x14ac:dyDescent="0.35">
      <c r="A2283" t="s">
        <v>9</v>
      </c>
      <c r="B2283" t="s">
        <v>2119</v>
      </c>
      <c r="C2283" t="s">
        <v>2236</v>
      </c>
      <c r="D2283" t="str">
        <f>"301806"</f>
        <v>301806</v>
      </c>
      <c r="E2283">
        <v>4581</v>
      </c>
      <c r="F2283">
        <v>2434</v>
      </c>
      <c r="G2283" s="1">
        <v>0.53129999999999999</v>
      </c>
      <c r="H2283">
        <v>7</v>
      </c>
      <c r="I2283">
        <v>4573</v>
      </c>
    </row>
    <row r="2284" spans="1:9" x14ac:dyDescent="0.35">
      <c r="A2284" t="s">
        <v>9</v>
      </c>
      <c r="B2284" t="s">
        <v>2119</v>
      </c>
      <c r="C2284" t="s">
        <v>2237</v>
      </c>
      <c r="D2284" t="str">
        <f>"301807"</f>
        <v>301807</v>
      </c>
      <c r="E2284">
        <v>17961</v>
      </c>
      <c r="F2284">
        <v>9775</v>
      </c>
      <c r="G2284" s="1">
        <v>0.54420000000000002</v>
      </c>
      <c r="H2284">
        <v>19</v>
      </c>
      <c r="I2284">
        <v>17885</v>
      </c>
    </row>
    <row r="2285" spans="1:9" x14ac:dyDescent="0.35">
      <c r="A2285" t="s">
        <v>9</v>
      </c>
      <c r="B2285" t="s">
        <v>2119</v>
      </c>
      <c r="C2285" t="s">
        <v>2238</v>
      </c>
      <c r="D2285" t="str">
        <f>"301901"</f>
        <v>301901</v>
      </c>
      <c r="E2285">
        <v>51504</v>
      </c>
      <c r="F2285">
        <v>30590</v>
      </c>
      <c r="G2285" s="1">
        <v>0.59389999999999998</v>
      </c>
      <c r="H2285">
        <v>31</v>
      </c>
      <c r="I2285">
        <v>50736</v>
      </c>
    </row>
    <row r="2286" spans="1:9" x14ac:dyDescent="0.35">
      <c r="A2286" t="s">
        <v>9</v>
      </c>
      <c r="B2286" t="s">
        <v>2119</v>
      </c>
      <c r="C2286" t="s">
        <v>2239</v>
      </c>
      <c r="D2286" t="str">
        <f>"301902"</f>
        <v>301902</v>
      </c>
      <c r="E2286">
        <v>3478</v>
      </c>
      <c r="F2286">
        <v>2037</v>
      </c>
      <c r="G2286" s="1">
        <v>0.5857</v>
      </c>
      <c r="H2286">
        <v>6</v>
      </c>
      <c r="I2286">
        <v>3477</v>
      </c>
    </row>
    <row r="2287" spans="1:9" x14ac:dyDescent="0.35">
      <c r="A2287" t="s">
        <v>9</v>
      </c>
      <c r="B2287" t="s">
        <v>2119</v>
      </c>
      <c r="C2287" t="s">
        <v>2240</v>
      </c>
      <c r="D2287" t="str">
        <f>"301903"</f>
        <v>301903</v>
      </c>
      <c r="E2287">
        <v>5757</v>
      </c>
      <c r="F2287">
        <v>3520</v>
      </c>
      <c r="G2287" s="1">
        <v>0.61140000000000005</v>
      </c>
      <c r="H2287">
        <v>10</v>
      </c>
      <c r="I2287">
        <v>5730</v>
      </c>
    </row>
    <row r="2288" spans="1:9" x14ac:dyDescent="0.35">
      <c r="A2288" t="s">
        <v>9</v>
      </c>
      <c r="B2288" t="s">
        <v>2119</v>
      </c>
      <c r="C2288" t="s">
        <v>2241</v>
      </c>
      <c r="D2288" t="str">
        <f>"301904"</f>
        <v>301904</v>
      </c>
      <c r="E2288">
        <v>6916</v>
      </c>
      <c r="F2288">
        <v>3623</v>
      </c>
      <c r="G2288" s="1">
        <v>0.52390000000000003</v>
      </c>
      <c r="H2288">
        <v>15</v>
      </c>
      <c r="I2288">
        <v>6881</v>
      </c>
    </row>
    <row r="2289" spans="1:9" x14ac:dyDescent="0.35">
      <c r="A2289" t="s">
        <v>9</v>
      </c>
      <c r="B2289" t="s">
        <v>2119</v>
      </c>
      <c r="C2289" t="s">
        <v>2242</v>
      </c>
      <c r="D2289" t="str">
        <f>"301905"</f>
        <v>301905</v>
      </c>
      <c r="E2289">
        <v>2321</v>
      </c>
      <c r="F2289">
        <v>1234</v>
      </c>
      <c r="G2289" s="1">
        <v>0.53169999999999995</v>
      </c>
      <c r="H2289">
        <v>5</v>
      </c>
      <c r="I2289">
        <v>2312</v>
      </c>
    </row>
    <row r="2290" spans="1:9" x14ac:dyDescent="0.35">
      <c r="A2290" t="s">
        <v>9</v>
      </c>
      <c r="B2290" t="s">
        <v>2119</v>
      </c>
      <c r="C2290" t="s">
        <v>1070</v>
      </c>
      <c r="D2290" t="str">
        <f>"301906"</f>
        <v>301906</v>
      </c>
      <c r="E2290">
        <v>7135</v>
      </c>
      <c r="F2290">
        <v>4348</v>
      </c>
      <c r="G2290" s="1">
        <v>0.60940000000000005</v>
      </c>
      <c r="H2290">
        <v>13</v>
      </c>
      <c r="I2290">
        <v>7074</v>
      </c>
    </row>
    <row r="2291" spans="1:9" x14ac:dyDescent="0.35">
      <c r="A2291" t="s">
        <v>9</v>
      </c>
      <c r="B2291" t="s">
        <v>2119</v>
      </c>
      <c r="C2291" t="s">
        <v>2243</v>
      </c>
      <c r="D2291" t="str">
        <f>"301907"</f>
        <v>301907</v>
      </c>
      <c r="E2291">
        <v>5868</v>
      </c>
      <c r="F2291">
        <v>3334</v>
      </c>
      <c r="G2291" s="1">
        <v>0.56820000000000004</v>
      </c>
      <c r="H2291">
        <v>9</v>
      </c>
      <c r="I2291">
        <v>5835</v>
      </c>
    </row>
    <row r="2292" spans="1:9" x14ac:dyDescent="0.35">
      <c r="A2292" t="s">
        <v>9</v>
      </c>
      <c r="B2292" t="s">
        <v>2119</v>
      </c>
      <c r="C2292" t="s">
        <v>2244</v>
      </c>
      <c r="D2292" t="str">
        <f>"301908"</f>
        <v>301908</v>
      </c>
      <c r="E2292">
        <v>10035</v>
      </c>
      <c r="F2292">
        <v>5406</v>
      </c>
      <c r="G2292" s="1">
        <v>0.53869999999999996</v>
      </c>
      <c r="H2292">
        <v>14</v>
      </c>
      <c r="I2292">
        <v>9999</v>
      </c>
    </row>
    <row r="2293" spans="1:9" x14ac:dyDescent="0.35">
      <c r="A2293" t="s">
        <v>9</v>
      </c>
      <c r="B2293" t="s">
        <v>2119</v>
      </c>
      <c r="C2293" t="s">
        <v>2245</v>
      </c>
      <c r="D2293" t="str">
        <f>"301909"</f>
        <v>301909</v>
      </c>
      <c r="E2293">
        <v>4735</v>
      </c>
      <c r="F2293">
        <v>2549</v>
      </c>
      <c r="G2293" s="1">
        <v>0.5383</v>
      </c>
      <c r="H2293">
        <v>12</v>
      </c>
      <c r="I2293">
        <v>4732</v>
      </c>
    </row>
    <row r="2294" spans="1:9" x14ac:dyDescent="0.35">
      <c r="A2294" t="s">
        <v>9</v>
      </c>
      <c r="B2294" t="s">
        <v>2119</v>
      </c>
      <c r="C2294" t="s">
        <v>2246</v>
      </c>
      <c r="D2294" t="str">
        <f>"302001"</f>
        <v>302001</v>
      </c>
      <c r="E2294">
        <v>3659</v>
      </c>
      <c r="F2294">
        <v>2007</v>
      </c>
      <c r="G2294" s="1">
        <v>0.54849999999999999</v>
      </c>
      <c r="H2294">
        <v>7</v>
      </c>
      <c r="I2294">
        <v>3655</v>
      </c>
    </row>
    <row r="2295" spans="1:9" x14ac:dyDescent="0.35">
      <c r="A2295" t="s">
        <v>9</v>
      </c>
      <c r="B2295" t="s">
        <v>2119</v>
      </c>
      <c r="C2295" t="s">
        <v>1429</v>
      </c>
      <c r="D2295" t="str">
        <f>"302002"</f>
        <v>302002</v>
      </c>
      <c r="E2295">
        <v>3697</v>
      </c>
      <c r="F2295">
        <v>2197</v>
      </c>
      <c r="G2295" s="1">
        <v>0.59430000000000005</v>
      </c>
      <c r="H2295">
        <v>7</v>
      </c>
      <c r="I2295">
        <v>3690</v>
      </c>
    </row>
    <row r="2296" spans="1:9" x14ac:dyDescent="0.35">
      <c r="A2296" t="s">
        <v>9</v>
      </c>
      <c r="B2296" t="s">
        <v>2119</v>
      </c>
      <c r="C2296" t="s">
        <v>2247</v>
      </c>
      <c r="D2296" t="str">
        <f>"302003"</f>
        <v>302003</v>
      </c>
      <c r="E2296">
        <v>6065</v>
      </c>
      <c r="F2296">
        <v>3466</v>
      </c>
      <c r="G2296" s="1">
        <v>0.57150000000000001</v>
      </c>
      <c r="H2296">
        <v>10</v>
      </c>
      <c r="I2296">
        <v>6040</v>
      </c>
    </row>
    <row r="2297" spans="1:9" x14ac:dyDescent="0.35">
      <c r="A2297" t="s">
        <v>9</v>
      </c>
      <c r="B2297" t="s">
        <v>2119</v>
      </c>
      <c r="C2297" t="s">
        <v>2248</v>
      </c>
      <c r="D2297" t="str">
        <f>"302004"</f>
        <v>302004</v>
      </c>
      <c r="E2297">
        <v>3495</v>
      </c>
      <c r="F2297">
        <v>1918</v>
      </c>
      <c r="G2297" s="1">
        <v>0.54879999999999995</v>
      </c>
      <c r="H2297">
        <v>6</v>
      </c>
      <c r="I2297">
        <v>3478</v>
      </c>
    </row>
    <row r="2298" spans="1:9" x14ac:dyDescent="0.35">
      <c r="A2298" t="s">
        <v>9</v>
      </c>
      <c r="B2298" t="s">
        <v>2119</v>
      </c>
      <c r="C2298" t="s">
        <v>2249</v>
      </c>
      <c r="D2298" t="str">
        <f>"302005"</f>
        <v>302005</v>
      </c>
      <c r="E2298">
        <v>8316</v>
      </c>
      <c r="F2298">
        <v>4527</v>
      </c>
      <c r="G2298" s="1">
        <v>0.5444</v>
      </c>
      <c r="H2298">
        <v>10</v>
      </c>
      <c r="I2298">
        <v>8285</v>
      </c>
    </row>
    <row r="2299" spans="1:9" x14ac:dyDescent="0.35">
      <c r="A2299" t="s">
        <v>9</v>
      </c>
      <c r="B2299" t="s">
        <v>2119</v>
      </c>
      <c r="C2299" t="s">
        <v>2250</v>
      </c>
      <c r="D2299" t="str">
        <f>"302006"</f>
        <v>302006</v>
      </c>
      <c r="E2299">
        <v>21859</v>
      </c>
      <c r="F2299">
        <v>12548</v>
      </c>
      <c r="G2299" s="1">
        <v>0.57399999999999995</v>
      </c>
      <c r="H2299">
        <v>28</v>
      </c>
      <c r="I2299">
        <v>21804</v>
      </c>
    </row>
    <row r="2300" spans="1:9" x14ac:dyDescent="0.35">
      <c r="A2300" t="s">
        <v>9</v>
      </c>
      <c r="B2300" t="s">
        <v>2119</v>
      </c>
      <c r="C2300" t="s">
        <v>2251</v>
      </c>
      <c r="D2300" t="str">
        <f>"302101"</f>
        <v>302101</v>
      </c>
      <c r="E2300">
        <v>23750</v>
      </c>
      <c r="F2300">
        <v>15100</v>
      </c>
      <c r="G2300" s="1">
        <v>0.63580000000000003</v>
      </c>
      <c r="H2300">
        <v>14</v>
      </c>
      <c r="I2300">
        <v>23584</v>
      </c>
    </row>
    <row r="2301" spans="1:9" x14ac:dyDescent="0.35">
      <c r="A2301" t="s">
        <v>9</v>
      </c>
      <c r="B2301" t="s">
        <v>2119</v>
      </c>
      <c r="C2301" t="s">
        <v>2252</v>
      </c>
      <c r="D2301" t="str">
        <f>"302102"</f>
        <v>302102</v>
      </c>
      <c r="E2301">
        <v>7481</v>
      </c>
      <c r="F2301">
        <v>5099</v>
      </c>
      <c r="G2301" s="1">
        <v>0.68159999999999998</v>
      </c>
      <c r="H2301">
        <v>6</v>
      </c>
      <c r="I2301">
        <v>7417</v>
      </c>
    </row>
    <row r="2302" spans="1:9" x14ac:dyDescent="0.35">
      <c r="A2302" t="s">
        <v>9</v>
      </c>
      <c r="B2302" t="s">
        <v>2119</v>
      </c>
      <c r="C2302" t="s">
        <v>2253</v>
      </c>
      <c r="D2302" t="str">
        <f>"302103"</f>
        <v>302103</v>
      </c>
      <c r="E2302">
        <v>9732</v>
      </c>
      <c r="F2302">
        <v>5727</v>
      </c>
      <c r="G2302" s="1">
        <v>0.58850000000000002</v>
      </c>
      <c r="H2302">
        <v>6</v>
      </c>
      <c r="I2302">
        <v>9698</v>
      </c>
    </row>
    <row r="2303" spans="1:9" x14ac:dyDescent="0.35">
      <c r="A2303" t="s">
        <v>9</v>
      </c>
      <c r="B2303" t="s">
        <v>2119</v>
      </c>
      <c r="C2303" t="s">
        <v>2254</v>
      </c>
      <c r="D2303" t="str">
        <f>"302104"</f>
        <v>302104</v>
      </c>
      <c r="E2303">
        <v>20670</v>
      </c>
      <c r="F2303">
        <v>13437</v>
      </c>
      <c r="G2303" s="1">
        <v>0.65010000000000001</v>
      </c>
      <c r="H2303">
        <v>14</v>
      </c>
      <c r="I2303">
        <v>20555</v>
      </c>
    </row>
    <row r="2304" spans="1:9" x14ac:dyDescent="0.35">
      <c r="A2304" t="s">
        <v>9</v>
      </c>
      <c r="B2304" t="s">
        <v>2119</v>
      </c>
      <c r="C2304" t="s">
        <v>2255</v>
      </c>
      <c r="D2304" t="str">
        <f>"302105"</f>
        <v>302105</v>
      </c>
      <c r="E2304">
        <v>23038</v>
      </c>
      <c r="F2304">
        <v>15360</v>
      </c>
      <c r="G2304" s="1">
        <v>0.66669999999999996</v>
      </c>
      <c r="H2304">
        <v>15</v>
      </c>
      <c r="I2304">
        <v>22861</v>
      </c>
    </row>
    <row r="2305" spans="1:9" x14ac:dyDescent="0.35">
      <c r="A2305" t="s">
        <v>9</v>
      </c>
      <c r="B2305" t="s">
        <v>2119</v>
      </c>
      <c r="C2305" t="s">
        <v>2256</v>
      </c>
      <c r="D2305" t="str">
        <f>"302106"</f>
        <v>302106</v>
      </c>
      <c r="E2305">
        <v>7596</v>
      </c>
      <c r="F2305">
        <v>5506</v>
      </c>
      <c r="G2305" s="1">
        <v>0.72489999999999999</v>
      </c>
      <c r="H2305">
        <v>4</v>
      </c>
      <c r="I2305">
        <v>7519</v>
      </c>
    </row>
    <row r="2306" spans="1:9" x14ac:dyDescent="0.35">
      <c r="A2306" t="s">
        <v>9</v>
      </c>
      <c r="B2306" t="s">
        <v>2119</v>
      </c>
      <c r="C2306" t="s">
        <v>2257</v>
      </c>
      <c r="D2306" t="str">
        <f>"302107"</f>
        <v>302107</v>
      </c>
      <c r="E2306">
        <v>23046</v>
      </c>
      <c r="F2306">
        <v>14971</v>
      </c>
      <c r="G2306" s="1">
        <v>0.64959999999999996</v>
      </c>
      <c r="H2306">
        <v>14</v>
      </c>
      <c r="I2306">
        <v>22889</v>
      </c>
    </row>
    <row r="2307" spans="1:9" x14ac:dyDescent="0.35">
      <c r="A2307" t="s">
        <v>9</v>
      </c>
      <c r="B2307" t="s">
        <v>2119</v>
      </c>
      <c r="C2307" t="s">
        <v>2258</v>
      </c>
      <c r="D2307" t="str">
        <f>"302108"</f>
        <v>302108</v>
      </c>
      <c r="E2307">
        <v>14837</v>
      </c>
      <c r="F2307">
        <v>8618</v>
      </c>
      <c r="G2307" s="1">
        <v>0.58079999999999998</v>
      </c>
      <c r="H2307">
        <v>11</v>
      </c>
      <c r="I2307">
        <v>14753</v>
      </c>
    </row>
    <row r="2308" spans="1:9" x14ac:dyDescent="0.35">
      <c r="A2308" t="s">
        <v>9</v>
      </c>
      <c r="B2308" t="s">
        <v>2119</v>
      </c>
      <c r="C2308" t="s">
        <v>2259</v>
      </c>
      <c r="D2308" t="str">
        <f>"302109"</f>
        <v>302109</v>
      </c>
      <c r="E2308">
        <v>24324</v>
      </c>
      <c r="F2308">
        <v>16133</v>
      </c>
      <c r="G2308" s="1">
        <v>0.6633</v>
      </c>
      <c r="H2308">
        <v>25</v>
      </c>
      <c r="I2308">
        <v>24162</v>
      </c>
    </row>
    <row r="2309" spans="1:9" x14ac:dyDescent="0.35">
      <c r="A2309" t="s">
        <v>9</v>
      </c>
      <c r="B2309" t="s">
        <v>2119</v>
      </c>
      <c r="C2309" t="s">
        <v>2260</v>
      </c>
      <c r="D2309" t="str">
        <f>"302110"</f>
        <v>302110</v>
      </c>
      <c r="E2309">
        <v>25398</v>
      </c>
      <c r="F2309">
        <v>15547</v>
      </c>
      <c r="G2309" s="1">
        <v>0.61209999999999998</v>
      </c>
      <c r="H2309">
        <v>27</v>
      </c>
      <c r="I2309">
        <v>25306</v>
      </c>
    </row>
    <row r="2310" spans="1:9" x14ac:dyDescent="0.35">
      <c r="A2310" t="s">
        <v>9</v>
      </c>
      <c r="B2310" t="s">
        <v>2119</v>
      </c>
      <c r="C2310" t="s">
        <v>2261</v>
      </c>
      <c r="D2310" t="str">
        <f>"302111"</f>
        <v>302111</v>
      </c>
      <c r="E2310">
        <v>12924</v>
      </c>
      <c r="F2310">
        <v>7759</v>
      </c>
      <c r="G2310" s="1">
        <v>0.60040000000000004</v>
      </c>
      <c r="H2310">
        <v>13</v>
      </c>
      <c r="I2310">
        <v>12874</v>
      </c>
    </row>
    <row r="2311" spans="1:9" x14ac:dyDescent="0.35">
      <c r="A2311" t="s">
        <v>9</v>
      </c>
      <c r="B2311" t="s">
        <v>2119</v>
      </c>
      <c r="C2311" t="s">
        <v>2262</v>
      </c>
      <c r="D2311" t="str">
        <f>"302112"</f>
        <v>302112</v>
      </c>
      <c r="E2311">
        <v>15589</v>
      </c>
      <c r="F2311">
        <v>9834</v>
      </c>
      <c r="G2311" s="1">
        <v>0.63080000000000003</v>
      </c>
      <c r="H2311">
        <v>16</v>
      </c>
      <c r="I2311">
        <v>15545</v>
      </c>
    </row>
    <row r="2312" spans="1:9" x14ac:dyDescent="0.35">
      <c r="A2312" t="s">
        <v>9</v>
      </c>
      <c r="B2312" t="s">
        <v>2119</v>
      </c>
      <c r="C2312" t="s">
        <v>1380</v>
      </c>
      <c r="D2312" t="str">
        <f>"302113"</f>
        <v>302113</v>
      </c>
      <c r="E2312">
        <v>15580</v>
      </c>
      <c r="F2312">
        <v>9797</v>
      </c>
      <c r="G2312" s="1">
        <v>0.62880000000000003</v>
      </c>
      <c r="H2312">
        <v>10</v>
      </c>
      <c r="I2312">
        <v>15259</v>
      </c>
    </row>
    <row r="2313" spans="1:9" x14ac:dyDescent="0.35">
      <c r="A2313" t="s">
        <v>9</v>
      </c>
      <c r="B2313" t="s">
        <v>2119</v>
      </c>
      <c r="C2313" t="s">
        <v>2263</v>
      </c>
      <c r="D2313" t="str">
        <f>"302114"</f>
        <v>302114</v>
      </c>
      <c r="E2313">
        <v>11829</v>
      </c>
      <c r="F2313">
        <v>6883</v>
      </c>
      <c r="G2313" s="1">
        <v>0.58189999999999997</v>
      </c>
      <c r="H2313">
        <v>8</v>
      </c>
      <c r="I2313">
        <v>11772</v>
      </c>
    </row>
    <row r="2314" spans="1:9" x14ac:dyDescent="0.35">
      <c r="A2314" t="s">
        <v>9</v>
      </c>
      <c r="B2314" t="s">
        <v>2119</v>
      </c>
      <c r="C2314" t="s">
        <v>2264</v>
      </c>
      <c r="D2314" t="str">
        <f>"302115"</f>
        <v>302115</v>
      </c>
      <c r="E2314">
        <v>14249</v>
      </c>
      <c r="F2314">
        <v>10066</v>
      </c>
      <c r="G2314" s="1">
        <v>0.70640000000000003</v>
      </c>
      <c r="H2314">
        <v>8</v>
      </c>
      <c r="I2314">
        <v>13996</v>
      </c>
    </row>
    <row r="2315" spans="1:9" x14ac:dyDescent="0.35">
      <c r="A2315" t="s">
        <v>9</v>
      </c>
      <c r="B2315" t="s">
        <v>2119</v>
      </c>
      <c r="C2315" t="s">
        <v>2265</v>
      </c>
      <c r="D2315" t="str">
        <f>"302116"</f>
        <v>302116</v>
      </c>
      <c r="E2315">
        <v>39335</v>
      </c>
      <c r="F2315">
        <v>25888</v>
      </c>
      <c r="G2315" s="1">
        <v>0.65810000000000002</v>
      </c>
      <c r="H2315">
        <v>28</v>
      </c>
      <c r="I2315">
        <v>39085</v>
      </c>
    </row>
    <row r="2316" spans="1:9" x14ac:dyDescent="0.35">
      <c r="A2316" t="s">
        <v>9</v>
      </c>
      <c r="B2316" t="s">
        <v>2119</v>
      </c>
      <c r="C2316" t="s">
        <v>2266</v>
      </c>
      <c r="D2316" t="str">
        <f>"302117"</f>
        <v>302117</v>
      </c>
      <c r="E2316">
        <v>23166</v>
      </c>
      <c r="F2316">
        <v>15348</v>
      </c>
      <c r="G2316" s="1">
        <v>0.66249999999999998</v>
      </c>
      <c r="H2316">
        <v>20</v>
      </c>
      <c r="I2316">
        <v>22998</v>
      </c>
    </row>
    <row r="2317" spans="1:9" x14ac:dyDescent="0.35">
      <c r="A2317" t="s">
        <v>9</v>
      </c>
      <c r="B2317" t="s">
        <v>2119</v>
      </c>
      <c r="C2317" t="s">
        <v>2267</v>
      </c>
      <c r="D2317" t="str">
        <f>"302201"</f>
        <v>302201</v>
      </c>
      <c r="E2317">
        <v>6291</v>
      </c>
      <c r="F2317">
        <v>3278</v>
      </c>
      <c r="G2317" s="1">
        <v>0.52110000000000001</v>
      </c>
      <c r="H2317">
        <v>7</v>
      </c>
      <c r="I2317">
        <v>6269</v>
      </c>
    </row>
    <row r="2318" spans="1:9" x14ac:dyDescent="0.35">
      <c r="A2318" t="s">
        <v>9</v>
      </c>
      <c r="B2318" t="s">
        <v>2119</v>
      </c>
      <c r="C2318" t="s">
        <v>2268</v>
      </c>
      <c r="D2318" t="str">
        <f>"302202"</f>
        <v>302202</v>
      </c>
      <c r="E2318">
        <v>5268</v>
      </c>
      <c r="F2318">
        <v>2737</v>
      </c>
      <c r="G2318" s="1">
        <v>0.51959999999999995</v>
      </c>
      <c r="H2318">
        <v>9</v>
      </c>
      <c r="I2318">
        <v>5263</v>
      </c>
    </row>
    <row r="2319" spans="1:9" x14ac:dyDescent="0.35">
      <c r="A2319" t="s">
        <v>9</v>
      </c>
      <c r="B2319" t="s">
        <v>2119</v>
      </c>
      <c r="C2319" t="s">
        <v>2269</v>
      </c>
      <c r="D2319" t="str">
        <f>"302203"</f>
        <v>302203</v>
      </c>
      <c r="E2319">
        <v>6975</v>
      </c>
      <c r="F2319">
        <v>3896</v>
      </c>
      <c r="G2319" s="1">
        <v>0.55859999999999999</v>
      </c>
      <c r="H2319">
        <v>12</v>
      </c>
      <c r="I2319">
        <v>6946</v>
      </c>
    </row>
    <row r="2320" spans="1:9" x14ac:dyDescent="0.35">
      <c r="A2320" t="s">
        <v>9</v>
      </c>
      <c r="B2320" t="s">
        <v>2119</v>
      </c>
      <c r="C2320" t="s">
        <v>2270</v>
      </c>
      <c r="D2320" t="str">
        <f>"302204"</f>
        <v>302204</v>
      </c>
      <c r="E2320">
        <v>3603</v>
      </c>
      <c r="F2320">
        <v>1907</v>
      </c>
      <c r="G2320" s="1">
        <v>0.52929999999999999</v>
      </c>
      <c r="H2320">
        <v>6</v>
      </c>
      <c r="I2320">
        <v>3587</v>
      </c>
    </row>
    <row r="2321" spans="1:9" x14ac:dyDescent="0.35">
      <c r="A2321" t="s">
        <v>9</v>
      </c>
      <c r="B2321" t="s">
        <v>2119</v>
      </c>
      <c r="C2321" t="s">
        <v>2271</v>
      </c>
      <c r="D2321" t="str">
        <f>"302205"</f>
        <v>302205</v>
      </c>
      <c r="E2321">
        <v>22372</v>
      </c>
      <c r="F2321">
        <v>12621</v>
      </c>
      <c r="G2321" s="1">
        <v>0.56410000000000005</v>
      </c>
      <c r="H2321">
        <v>24</v>
      </c>
      <c r="I2321">
        <v>22217</v>
      </c>
    </row>
    <row r="2322" spans="1:9" x14ac:dyDescent="0.35">
      <c r="A2322" t="s">
        <v>9</v>
      </c>
      <c r="B2322" t="s">
        <v>2119</v>
      </c>
      <c r="C2322" t="s">
        <v>2272</v>
      </c>
      <c r="D2322" t="str">
        <f>"302301"</f>
        <v>302301</v>
      </c>
      <c r="E2322">
        <v>9984</v>
      </c>
      <c r="F2322">
        <v>5900</v>
      </c>
      <c r="G2322" s="1">
        <v>0.59089999999999998</v>
      </c>
      <c r="H2322">
        <v>7</v>
      </c>
      <c r="I2322">
        <v>9900</v>
      </c>
    </row>
    <row r="2323" spans="1:9" x14ac:dyDescent="0.35">
      <c r="A2323" t="s">
        <v>9</v>
      </c>
      <c r="B2323" t="s">
        <v>2119</v>
      </c>
      <c r="C2323" t="s">
        <v>2273</v>
      </c>
      <c r="D2323" t="str">
        <f>"302302"</f>
        <v>302302</v>
      </c>
      <c r="E2323">
        <v>4359</v>
      </c>
      <c r="F2323">
        <v>2454</v>
      </c>
      <c r="G2323" s="1">
        <v>0.56299999999999994</v>
      </c>
      <c r="H2323">
        <v>5</v>
      </c>
      <c r="I2323">
        <v>4342</v>
      </c>
    </row>
    <row r="2324" spans="1:9" x14ac:dyDescent="0.35">
      <c r="A2324" t="s">
        <v>9</v>
      </c>
      <c r="B2324" t="s">
        <v>2119</v>
      </c>
      <c r="C2324" t="s">
        <v>2274</v>
      </c>
      <c r="D2324" t="str">
        <f>"302303"</f>
        <v>302303</v>
      </c>
      <c r="E2324">
        <v>2857</v>
      </c>
      <c r="F2324">
        <v>1551</v>
      </c>
      <c r="G2324" s="1">
        <v>0.54290000000000005</v>
      </c>
      <c r="H2324">
        <v>7</v>
      </c>
      <c r="I2324">
        <v>2842</v>
      </c>
    </row>
    <row r="2325" spans="1:9" x14ac:dyDescent="0.35">
      <c r="A2325" t="s">
        <v>9</v>
      </c>
      <c r="B2325" t="s">
        <v>2119</v>
      </c>
      <c r="C2325" t="s">
        <v>2275</v>
      </c>
      <c r="D2325" t="str">
        <f>"302304"</f>
        <v>302304</v>
      </c>
      <c r="E2325">
        <v>3874</v>
      </c>
      <c r="F2325">
        <v>2210</v>
      </c>
      <c r="G2325" s="1">
        <v>0.57050000000000001</v>
      </c>
      <c r="H2325">
        <v>8</v>
      </c>
      <c r="I2325">
        <v>3850</v>
      </c>
    </row>
    <row r="2326" spans="1:9" x14ac:dyDescent="0.35">
      <c r="A2326" t="s">
        <v>9</v>
      </c>
      <c r="B2326" t="s">
        <v>2119</v>
      </c>
      <c r="C2326" t="s">
        <v>2276</v>
      </c>
      <c r="D2326" t="str">
        <f>"302305"</f>
        <v>302305</v>
      </c>
      <c r="E2326">
        <v>1894</v>
      </c>
      <c r="F2326">
        <v>1187</v>
      </c>
      <c r="G2326" s="1">
        <v>0.62670000000000003</v>
      </c>
      <c r="H2326">
        <v>3</v>
      </c>
      <c r="I2326">
        <v>1826</v>
      </c>
    </row>
    <row r="2327" spans="1:9" x14ac:dyDescent="0.35">
      <c r="A2327" t="s">
        <v>9</v>
      </c>
      <c r="B2327" t="s">
        <v>2119</v>
      </c>
      <c r="C2327" t="s">
        <v>2277</v>
      </c>
      <c r="D2327" t="str">
        <f>"302306"</f>
        <v>302306</v>
      </c>
      <c r="E2327">
        <v>7607</v>
      </c>
      <c r="F2327">
        <v>4322</v>
      </c>
      <c r="G2327" s="1">
        <v>0.56820000000000004</v>
      </c>
      <c r="H2327">
        <v>9</v>
      </c>
      <c r="I2327">
        <v>7593</v>
      </c>
    </row>
    <row r="2328" spans="1:9" x14ac:dyDescent="0.35">
      <c r="A2328" t="s">
        <v>9</v>
      </c>
      <c r="B2328" t="s">
        <v>2119</v>
      </c>
      <c r="C2328" t="s">
        <v>2278</v>
      </c>
      <c r="D2328" t="str">
        <f>"302307"</f>
        <v>302307</v>
      </c>
      <c r="E2328">
        <v>7623</v>
      </c>
      <c r="F2328">
        <v>4418</v>
      </c>
      <c r="G2328" s="1">
        <v>0.5796</v>
      </c>
      <c r="H2328">
        <v>10</v>
      </c>
      <c r="I2328">
        <v>7587</v>
      </c>
    </row>
    <row r="2329" spans="1:9" x14ac:dyDescent="0.35">
      <c r="A2329" t="s">
        <v>9</v>
      </c>
      <c r="B2329" t="s">
        <v>2119</v>
      </c>
      <c r="C2329" t="s">
        <v>2279</v>
      </c>
      <c r="D2329" t="str">
        <f>"302308"</f>
        <v>302308</v>
      </c>
      <c r="E2329">
        <v>6758</v>
      </c>
      <c r="F2329">
        <v>3511</v>
      </c>
      <c r="G2329" s="1">
        <v>0.51949999999999996</v>
      </c>
      <c r="H2329">
        <v>9</v>
      </c>
      <c r="I2329">
        <v>6750</v>
      </c>
    </row>
    <row r="2330" spans="1:9" x14ac:dyDescent="0.35">
      <c r="A2330" t="s">
        <v>9</v>
      </c>
      <c r="B2330" t="s">
        <v>2119</v>
      </c>
      <c r="C2330" t="s">
        <v>2280</v>
      </c>
      <c r="D2330" t="str">
        <f>"302401"</f>
        <v>302401</v>
      </c>
      <c r="E2330">
        <v>1789</v>
      </c>
      <c r="F2330">
        <v>1201</v>
      </c>
      <c r="G2330" s="1">
        <v>0.67130000000000001</v>
      </c>
      <c r="H2330">
        <v>1</v>
      </c>
      <c r="I2330">
        <v>1788</v>
      </c>
    </row>
    <row r="2331" spans="1:9" x14ac:dyDescent="0.35">
      <c r="A2331" t="s">
        <v>9</v>
      </c>
      <c r="B2331" t="s">
        <v>2119</v>
      </c>
      <c r="C2331" t="s">
        <v>2281</v>
      </c>
      <c r="D2331" t="str">
        <f>"302402"</f>
        <v>302402</v>
      </c>
      <c r="E2331">
        <v>7168</v>
      </c>
      <c r="F2331">
        <v>4122</v>
      </c>
      <c r="G2331" s="1">
        <v>0.57509999999999994</v>
      </c>
      <c r="H2331">
        <v>5</v>
      </c>
      <c r="I2331">
        <v>7097</v>
      </c>
    </row>
    <row r="2332" spans="1:9" x14ac:dyDescent="0.35">
      <c r="A2332" t="s">
        <v>9</v>
      </c>
      <c r="B2332" t="s">
        <v>2119</v>
      </c>
      <c r="C2332" t="s">
        <v>2282</v>
      </c>
      <c r="D2332" t="str">
        <f>"302403"</f>
        <v>302403</v>
      </c>
      <c r="E2332">
        <v>7032</v>
      </c>
      <c r="F2332">
        <v>4309</v>
      </c>
      <c r="G2332" s="1">
        <v>0.61280000000000001</v>
      </c>
      <c r="H2332">
        <v>8</v>
      </c>
      <c r="I2332">
        <v>6911</v>
      </c>
    </row>
    <row r="2333" spans="1:9" x14ac:dyDescent="0.35">
      <c r="A2333" t="s">
        <v>9</v>
      </c>
      <c r="B2333" t="s">
        <v>2119</v>
      </c>
      <c r="C2333" t="s">
        <v>2283</v>
      </c>
      <c r="D2333" t="str">
        <f>"302404"</f>
        <v>302404</v>
      </c>
      <c r="E2333">
        <v>3405</v>
      </c>
      <c r="F2333">
        <v>1827</v>
      </c>
      <c r="G2333" s="1">
        <v>0.53659999999999997</v>
      </c>
      <c r="H2333">
        <v>3</v>
      </c>
      <c r="I2333">
        <v>3376</v>
      </c>
    </row>
    <row r="2334" spans="1:9" x14ac:dyDescent="0.35">
      <c r="A2334" t="s">
        <v>9</v>
      </c>
      <c r="B2334" t="s">
        <v>2119</v>
      </c>
      <c r="C2334" t="s">
        <v>2284</v>
      </c>
      <c r="D2334" t="str">
        <f>"302405"</f>
        <v>302405</v>
      </c>
      <c r="E2334">
        <v>3708</v>
      </c>
      <c r="F2334">
        <v>2088</v>
      </c>
      <c r="G2334" s="1">
        <v>0.56310000000000004</v>
      </c>
      <c r="H2334">
        <v>2</v>
      </c>
      <c r="I2334">
        <v>3691</v>
      </c>
    </row>
    <row r="2335" spans="1:9" x14ac:dyDescent="0.35">
      <c r="A2335" t="s">
        <v>9</v>
      </c>
      <c r="B2335" t="s">
        <v>2119</v>
      </c>
      <c r="C2335" t="s">
        <v>1017</v>
      </c>
      <c r="D2335" t="str">
        <f>"302406"</f>
        <v>302406</v>
      </c>
      <c r="E2335">
        <v>9270</v>
      </c>
      <c r="F2335">
        <v>5067</v>
      </c>
      <c r="G2335" s="1">
        <v>0.54659999999999997</v>
      </c>
      <c r="H2335">
        <v>7</v>
      </c>
      <c r="I2335">
        <v>9244</v>
      </c>
    </row>
    <row r="2336" spans="1:9" x14ac:dyDescent="0.35">
      <c r="A2336" t="s">
        <v>9</v>
      </c>
      <c r="B2336" t="s">
        <v>2119</v>
      </c>
      <c r="C2336" t="s">
        <v>2285</v>
      </c>
      <c r="D2336" t="str">
        <f>"302407"</f>
        <v>302407</v>
      </c>
      <c r="E2336">
        <v>22514</v>
      </c>
      <c r="F2336">
        <v>13501</v>
      </c>
      <c r="G2336" s="1">
        <v>0.59970000000000001</v>
      </c>
      <c r="H2336">
        <v>17</v>
      </c>
      <c r="I2336">
        <v>22300</v>
      </c>
    </row>
    <row r="2337" spans="1:9" x14ac:dyDescent="0.35">
      <c r="A2337" t="s">
        <v>9</v>
      </c>
      <c r="B2337" t="s">
        <v>2119</v>
      </c>
      <c r="C2337" t="s">
        <v>2286</v>
      </c>
      <c r="D2337" t="str">
        <f>"302408"</f>
        <v>302408</v>
      </c>
      <c r="E2337">
        <v>14057</v>
      </c>
      <c r="F2337">
        <v>8743</v>
      </c>
      <c r="G2337" s="1">
        <v>0.622</v>
      </c>
      <c r="H2337">
        <v>14</v>
      </c>
      <c r="I2337">
        <v>13999</v>
      </c>
    </row>
    <row r="2338" spans="1:9" x14ac:dyDescent="0.35">
      <c r="A2338" t="s">
        <v>9</v>
      </c>
      <c r="B2338" t="s">
        <v>2119</v>
      </c>
      <c r="C2338" t="s">
        <v>2287</v>
      </c>
      <c r="D2338" t="str">
        <f>"302501"</f>
        <v>302501</v>
      </c>
      <c r="E2338">
        <v>2556</v>
      </c>
      <c r="F2338">
        <v>1437</v>
      </c>
      <c r="G2338" s="1">
        <v>0.56220000000000003</v>
      </c>
      <c r="H2338">
        <v>3</v>
      </c>
      <c r="I2338">
        <v>2541</v>
      </c>
    </row>
    <row r="2339" spans="1:9" x14ac:dyDescent="0.35">
      <c r="A2339" t="s">
        <v>9</v>
      </c>
      <c r="B2339" t="s">
        <v>2119</v>
      </c>
      <c r="C2339" t="s">
        <v>2288</v>
      </c>
      <c r="D2339" t="str">
        <f>"302502"</f>
        <v>302502</v>
      </c>
      <c r="E2339">
        <v>5464</v>
      </c>
      <c r="F2339">
        <v>3041</v>
      </c>
      <c r="G2339" s="1">
        <v>0.55659999999999998</v>
      </c>
      <c r="H2339">
        <v>8</v>
      </c>
      <c r="I2339">
        <v>5436</v>
      </c>
    </row>
    <row r="2340" spans="1:9" x14ac:dyDescent="0.35">
      <c r="A2340" t="s">
        <v>9</v>
      </c>
      <c r="B2340" t="s">
        <v>2119</v>
      </c>
      <c r="C2340" t="s">
        <v>2289</v>
      </c>
      <c r="D2340" t="str">
        <f>"302503"</f>
        <v>302503</v>
      </c>
      <c r="E2340">
        <v>6809</v>
      </c>
      <c r="F2340">
        <v>3648</v>
      </c>
      <c r="G2340" s="1">
        <v>0.53580000000000005</v>
      </c>
      <c r="H2340">
        <v>6</v>
      </c>
      <c r="I2340">
        <v>6774</v>
      </c>
    </row>
    <row r="2341" spans="1:9" x14ac:dyDescent="0.35">
      <c r="A2341" t="s">
        <v>9</v>
      </c>
      <c r="B2341" t="s">
        <v>2119</v>
      </c>
      <c r="C2341" t="s">
        <v>2290</v>
      </c>
      <c r="D2341" t="str">
        <f>"302504"</f>
        <v>302504</v>
      </c>
      <c r="E2341">
        <v>25210</v>
      </c>
      <c r="F2341">
        <v>15308</v>
      </c>
      <c r="G2341" s="1">
        <v>0.60719999999999996</v>
      </c>
      <c r="H2341">
        <v>29</v>
      </c>
      <c r="I2341">
        <v>24954</v>
      </c>
    </row>
    <row r="2342" spans="1:9" x14ac:dyDescent="0.35">
      <c r="A2342" t="s">
        <v>9</v>
      </c>
      <c r="B2342" t="s">
        <v>2119</v>
      </c>
      <c r="C2342" t="s">
        <v>2291</v>
      </c>
      <c r="D2342" t="str">
        <f>"302505"</f>
        <v>302505</v>
      </c>
      <c r="E2342">
        <v>5303</v>
      </c>
      <c r="F2342">
        <v>3205</v>
      </c>
      <c r="G2342" s="1">
        <v>0.60440000000000005</v>
      </c>
      <c r="H2342">
        <v>6</v>
      </c>
      <c r="I2342">
        <v>5245</v>
      </c>
    </row>
    <row r="2343" spans="1:9" x14ac:dyDescent="0.35">
      <c r="A2343" t="s">
        <v>9</v>
      </c>
      <c r="B2343" t="s">
        <v>2119</v>
      </c>
      <c r="C2343" t="s">
        <v>192</v>
      </c>
      <c r="D2343" t="str">
        <f>"302601"</f>
        <v>302601</v>
      </c>
      <c r="E2343">
        <v>3735</v>
      </c>
      <c r="F2343">
        <v>2067</v>
      </c>
      <c r="G2343" s="1">
        <v>0.5534</v>
      </c>
      <c r="H2343">
        <v>6</v>
      </c>
      <c r="I2343">
        <v>3628</v>
      </c>
    </row>
    <row r="2344" spans="1:9" x14ac:dyDescent="0.35">
      <c r="A2344" t="s">
        <v>9</v>
      </c>
      <c r="B2344" t="s">
        <v>2119</v>
      </c>
      <c r="C2344" t="s">
        <v>2292</v>
      </c>
      <c r="D2344" t="str">
        <f>"302602"</f>
        <v>302602</v>
      </c>
      <c r="E2344">
        <v>4501</v>
      </c>
      <c r="F2344">
        <v>2447</v>
      </c>
      <c r="G2344" s="1">
        <v>0.54369999999999996</v>
      </c>
      <c r="H2344">
        <v>8</v>
      </c>
      <c r="I2344">
        <v>4436</v>
      </c>
    </row>
    <row r="2345" spans="1:9" x14ac:dyDescent="0.35">
      <c r="A2345" t="s">
        <v>9</v>
      </c>
      <c r="B2345" t="s">
        <v>2119</v>
      </c>
      <c r="C2345" t="s">
        <v>2293</v>
      </c>
      <c r="D2345" t="str">
        <f>"302603"</f>
        <v>302603</v>
      </c>
      <c r="E2345">
        <v>6299</v>
      </c>
      <c r="F2345">
        <v>3257</v>
      </c>
      <c r="G2345" s="1">
        <v>0.5171</v>
      </c>
      <c r="H2345">
        <v>6</v>
      </c>
      <c r="I2345">
        <v>6283</v>
      </c>
    </row>
    <row r="2346" spans="1:9" x14ac:dyDescent="0.35">
      <c r="A2346" t="s">
        <v>9</v>
      </c>
      <c r="B2346" t="s">
        <v>2119</v>
      </c>
      <c r="C2346" t="s">
        <v>2294</v>
      </c>
      <c r="D2346" t="str">
        <f>"302604"</f>
        <v>302604</v>
      </c>
      <c r="E2346">
        <v>31065</v>
      </c>
      <c r="F2346">
        <v>18224</v>
      </c>
      <c r="G2346" s="1">
        <v>0.58660000000000001</v>
      </c>
      <c r="H2346">
        <v>23</v>
      </c>
      <c r="I2346">
        <v>30856</v>
      </c>
    </row>
    <row r="2347" spans="1:9" x14ac:dyDescent="0.35">
      <c r="A2347" t="s">
        <v>9</v>
      </c>
      <c r="B2347" t="s">
        <v>2119</v>
      </c>
      <c r="C2347" t="s">
        <v>2295</v>
      </c>
      <c r="D2347" t="str">
        <f>"302701"</f>
        <v>302701</v>
      </c>
      <c r="E2347">
        <v>19291</v>
      </c>
      <c r="F2347">
        <v>11033</v>
      </c>
      <c r="G2347" s="1">
        <v>0.57189999999999996</v>
      </c>
      <c r="H2347">
        <v>13</v>
      </c>
      <c r="I2347">
        <v>19175</v>
      </c>
    </row>
    <row r="2348" spans="1:9" x14ac:dyDescent="0.35">
      <c r="A2348" t="s">
        <v>9</v>
      </c>
      <c r="B2348" t="s">
        <v>2119</v>
      </c>
      <c r="C2348" t="s">
        <v>2296</v>
      </c>
      <c r="D2348" t="str">
        <f>"302702"</f>
        <v>302702</v>
      </c>
      <c r="E2348">
        <v>4573</v>
      </c>
      <c r="F2348">
        <v>2709</v>
      </c>
      <c r="G2348" s="1">
        <v>0.59240000000000004</v>
      </c>
      <c r="H2348">
        <v>9</v>
      </c>
      <c r="I2348">
        <v>4548</v>
      </c>
    </row>
    <row r="2349" spans="1:9" x14ac:dyDescent="0.35">
      <c r="A2349" t="s">
        <v>9</v>
      </c>
      <c r="B2349" t="s">
        <v>2119</v>
      </c>
      <c r="C2349" t="s">
        <v>849</v>
      </c>
      <c r="D2349" t="str">
        <f>"302703"</f>
        <v>302703</v>
      </c>
      <c r="E2349">
        <v>4600</v>
      </c>
      <c r="F2349">
        <v>2634</v>
      </c>
      <c r="G2349" s="1">
        <v>0.5726</v>
      </c>
      <c r="H2349">
        <v>7</v>
      </c>
      <c r="I2349">
        <v>4579</v>
      </c>
    </row>
    <row r="2350" spans="1:9" x14ac:dyDescent="0.35">
      <c r="A2350" t="s">
        <v>9</v>
      </c>
      <c r="B2350" t="s">
        <v>2119</v>
      </c>
      <c r="C2350" t="s">
        <v>2297</v>
      </c>
      <c r="D2350" t="str">
        <f>"302704"</f>
        <v>302704</v>
      </c>
      <c r="E2350">
        <v>3937</v>
      </c>
      <c r="F2350">
        <v>2268</v>
      </c>
      <c r="G2350" s="1">
        <v>0.57609999999999995</v>
      </c>
      <c r="H2350">
        <v>5</v>
      </c>
      <c r="I2350">
        <v>3930</v>
      </c>
    </row>
    <row r="2351" spans="1:9" x14ac:dyDescent="0.35">
      <c r="A2351" t="s">
        <v>9</v>
      </c>
      <c r="B2351" t="s">
        <v>2119</v>
      </c>
      <c r="C2351" t="s">
        <v>2298</v>
      </c>
      <c r="D2351" t="str">
        <f>"302705"</f>
        <v>302705</v>
      </c>
      <c r="E2351">
        <v>5091</v>
      </c>
      <c r="F2351">
        <v>2515</v>
      </c>
      <c r="G2351" s="1">
        <v>0.49399999999999999</v>
      </c>
      <c r="H2351">
        <v>4</v>
      </c>
      <c r="I2351">
        <v>5047</v>
      </c>
    </row>
    <row r="2352" spans="1:9" x14ac:dyDescent="0.35">
      <c r="A2352" t="s">
        <v>9</v>
      </c>
      <c r="B2352" t="s">
        <v>2119</v>
      </c>
      <c r="C2352" t="s">
        <v>2299</v>
      </c>
      <c r="D2352" t="str">
        <f>"302706"</f>
        <v>302706</v>
      </c>
      <c r="E2352">
        <v>3601</v>
      </c>
      <c r="F2352">
        <v>2027</v>
      </c>
      <c r="G2352" s="1">
        <v>0.56289999999999996</v>
      </c>
      <c r="H2352">
        <v>3</v>
      </c>
      <c r="I2352">
        <v>3568</v>
      </c>
    </row>
    <row r="2353" spans="1:9" x14ac:dyDescent="0.35">
      <c r="A2353" t="s">
        <v>9</v>
      </c>
      <c r="B2353" t="s">
        <v>2119</v>
      </c>
      <c r="C2353" t="s">
        <v>2300</v>
      </c>
      <c r="D2353" t="str">
        <f>"302707"</f>
        <v>302707</v>
      </c>
      <c r="E2353">
        <v>7863</v>
      </c>
      <c r="F2353">
        <v>4348</v>
      </c>
      <c r="G2353" s="1">
        <v>0.55300000000000005</v>
      </c>
      <c r="H2353">
        <v>6</v>
      </c>
      <c r="I2353">
        <v>7842</v>
      </c>
    </row>
    <row r="2354" spans="1:9" x14ac:dyDescent="0.35">
      <c r="A2354" t="s">
        <v>9</v>
      </c>
      <c r="B2354" t="s">
        <v>2119</v>
      </c>
      <c r="C2354" t="s">
        <v>2301</v>
      </c>
      <c r="D2354" t="str">
        <f>"302708"</f>
        <v>302708</v>
      </c>
      <c r="E2354">
        <v>7806</v>
      </c>
      <c r="F2354">
        <v>4540</v>
      </c>
      <c r="G2354" s="1">
        <v>0.58160000000000001</v>
      </c>
      <c r="H2354">
        <v>11</v>
      </c>
      <c r="I2354">
        <v>7779</v>
      </c>
    </row>
    <row r="2355" spans="1:9" x14ac:dyDescent="0.35">
      <c r="A2355" t="s">
        <v>9</v>
      </c>
      <c r="B2355" t="s">
        <v>2119</v>
      </c>
      <c r="C2355" t="s">
        <v>2302</v>
      </c>
      <c r="D2355" t="str">
        <f>"302709"</f>
        <v>302709</v>
      </c>
      <c r="E2355">
        <v>6118</v>
      </c>
      <c r="F2355">
        <v>3683</v>
      </c>
      <c r="G2355" s="1">
        <v>0.60199999999999998</v>
      </c>
      <c r="H2355">
        <v>7</v>
      </c>
      <c r="I2355">
        <v>6102</v>
      </c>
    </row>
    <row r="2356" spans="1:9" x14ac:dyDescent="0.35">
      <c r="A2356" t="s">
        <v>9</v>
      </c>
      <c r="B2356" t="s">
        <v>2119</v>
      </c>
      <c r="C2356" t="s">
        <v>2303</v>
      </c>
      <c r="D2356" t="str">
        <f>"302801"</f>
        <v>302801</v>
      </c>
      <c r="E2356">
        <v>18632</v>
      </c>
      <c r="F2356">
        <v>11354</v>
      </c>
      <c r="G2356" s="1">
        <v>0.60940000000000005</v>
      </c>
      <c r="H2356">
        <v>11</v>
      </c>
      <c r="I2356">
        <v>18580</v>
      </c>
    </row>
    <row r="2357" spans="1:9" x14ac:dyDescent="0.35">
      <c r="A2357" t="s">
        <v>9</v>
      </c>
      <c r="B2357" t="s">
        <v>2119</v>
      </c>
      <c r="C2357" t="s">
        <v>2304</v>
      </c>
      <c r="D2357" t="str">
        <f>"302802"</f>
        <v>302802</v>
      </c>
      <c r="E2357">
        <v>3942</v>
      </c>
      <c r="F2357">
        <v>2191</v>
      </c>
      <c r="G2357" s="1">
        <v>0.55579999999999996</v>
      </c>
      <c r="H2357">
        <v>7</v>
      </c>
      <c r="I2357">
        <v>3925</v>
      </c>
    </row>
    <row r="2358" spans="1:9" x14ac:dyDescent="0.35">
      <c r="A2358" t="s">
        <v>9</v>
      </c>
      <c r="B2358" t="s">
        <v>2119</v>
      </c>
      <c r="C2358" t="s">
        <v>2305</v>
      </c>
      <c r="D2358" t="str">
        <f>"302803"</f>
        <v>302803</v>
      </c>
      <c r="E2358">
        <v>5916</v>
      </c>
      <c r="F2358">
        <v>3140</v>
      </c>
      <c r="G2358" s="1">
        <v>0.53080000000000005</v>
      </c>
      <c r="H2358">
        <v>14</v>
      </c>
      <c r="I2358">
        <v>5907</v>
      </c>
    </row>
    <row r="2359" spans="1:9" x14ac:dyDescent="0.35">
      <c r="A2359" t="s">
        <v>9</v>
      </c>
      <c r="B2359" t="s">
        <v>2119</v>
      </c>
      <c r="C2359" t="s">
        <v>2306</v>
      </c>
      <c r="D2359" t="str">
        <f>"302804"</f>
        <v>302804</v>
      </c>
      <c r="E2359">
        <v>4480</v>
      </c>
      <c r="F2359">
        <v>2493</v>
      </c>
      <c r="G2359" s="1">
        <v>0.55649999999999999</v>
      </c>
      <c r="H2359">
        <v>9</v>
      </c>
      <c r="I2359">
        <v>4463</v>
      </c>
    </row>
    <row r="2360" spans="1:9" x14ac:dyDescent="0.35">
      <c r="A2360" t="s">
        <v>9</v>
      </c>
      <c r="B2360" t="s">
        <v>2119</v>
      </c>
      <c r="C2360" t="s">
        <v>2307</v>
      </c>
      <c r="D2360" t="str">
        <f>"302805"</f>
        <v>302805</v>
      </c>
      <c r="E2360">
        <v>7548</v>
      </c>
      <c r="F2360">
        <v>4526</v>
      </c>
      <c r="G2360" s="1">
        <v>0.59960000000000002</v>
      </c>
      <c r="H2360">
        <v>12</v>
      </c>
      <c r="I2360">
        <v>7461</v>
      </c>
    </row>
    <row r="2361" spans="1:9" x14ac:dyDescent="0.35">
      <c r="A2361" t="s">
        <v>9</v>
      </c>
      <c r="B2361" t="s">
        <v>2119</v>
      </c>
      <c r="C2361" t="s">
        <v>2308</v>
      </c>
      <c r="D2361" t="str">
        <f>"302806"</f>
        <v>302806</v>
      </c>
      <c r="E2361">
        <v>2160</v>
      </c>
      <c r="F2361">
        <v>1201</v>
      </c>
      <c r="G2361" s="1">
        <v>0.55600000000000005</v>
      </c>
      <c r="H2361">
        <v>3</v>
      </c>
      <c r="I2361">
        <v>2154</v>
      </c>
    </row>
    <row r="2362" spans="1:9" x14ac:dyDescent="0.35">
      <c r="A2362" t="s">
        <v>9</v>
      </c>
      <c r="B2362" t="s">
        <v>2119</v>
      </c>
      <c r="C2362" t="s">
        <v>2309</v>
      </c>
      <c r="D2362" t="str">
        <f>"302807"</f>
        <v>302807</v>
      </c>
      <c r="E2362">
        <v>9085</v>
      </c>
      <c r="F2362">
        <v>5155</v>
      </c>
      <c r="G2362" s="1">
        <v>0.56740000000000002</v>
      </c>
      <c r="H2362">
        <v>19</v>
      </c>
      <c r="I2362">
        <v>9051</v>
      </c>
    </row>
    <row r="2363" spans="1:9" x14ac:dyDescent="0.35">
      <c r="A2363" t="s">
        <v>9</v>
      </c>
      <c r="B2363" t="s">
        <v>2119</v>
      </c>
      <c r="C2363" t="s">
        <v>2310</v>
      </c>
      <c r="D2363" t="str">
        <f>"302901"</f>
        <v>302901</v>
      </c>
      <c r="E2363">
        <v>10722</v>
      </c>
      <c r="F2363">
        <v>6043</v>
      </c>
      <c r="G2363" s="1">
        <v>0.56359999999999999</v>
      </c>
      <c r="H2363">
        <v>10</v>
      </c>
      <c r="I2363">
        <v>10643</v>
      </c>
    </row>
    <row r="2364" spans="1:9" x14ac:dyDescent="0.35">
      <c r="A2364" t="s">
        <v>9</v>
      </c>
      <c r="B2364" t="s">
        <v>2119</v>
      </c>
      <c r="C2364" t="s">
        <v>2311</v>
      </c>
      <c r="D2364" t="str">
        <f>"302902"</f>
        <v>302902</v>
      </c>
      <c r="E2364">
        <v>9545</v>
      </c>
      <c r="F2364">
        <v>5243</v>
      </c>
      <c r="G2364" s="1">
        <v>0.54930000000000001</v>
      </c>
      <c r="H2364">
        <v>10</v>
      </c>
      <c r="I2364">
        <v>9472</v>
      </c>
    </row>
    <row r="2365" spans="1:9" x14ac:dyDescent="0.35">
      <c r="A2365" t="s">
        <v>9</v>
      </c>
      <c r="B2365" t="s">
        <v>2119</v>
      </c>
      <c r="C2365" t="s">
        <v>2312</v>
      </c>
      <c r="D2365" t="str">
        <f>"302903"</f>
        <v>302903</v>
      </c>
      <c r="E2365">
        <v>22410</v>
      </c>
      <c r="F2365">
        <v>13372</v>
      </c>
      <c r="G2365" s="1">
        <v>0.59670000000000001</v>
      </c>
      <c r="H2365">
        <v>24</v>
      </c>
      <c r="I2365">
        <v>22316</v>
      </c>
    </row>
    <row r="2366" spans="1:9" x14ac:dyDescent="0.35">
      <c r="A2366" t="s">
        <v>9</v>
      </c>
      <c r="B2366" t="s">
        <v>2119</v>
      </c>
      <c r="C2366" t="s">
        <v>2313</v>
      </c>
      <c r="D2366" t="str">
        <f>"303001"</f>
        <v>303001</v>
      </c>
      <c r="E2366">
        <v>4419</v>
      </c>
      <c r="F2366">
        <v>2380</v>
      </c>
      <c r="G2366" s="1">
        <v>0.53859999999999997</v>
      </c>
      <c r="H2366">
        <v>7</v>
      </c>
      <c r="I2366">
        <v>4403</v>
      </c>
    </row>
    <row r="2367" spans="1:9" x14ac:dyDescent="0.35">
      <c r="A2367" t="s">
        <v>9</v>
      </c>
      <c r="B2367" t="s">
        <v>2119</v>
      </c>
      <c r="C2367" t="s">
        <v>2314</v>
      </c>
      <c r="D2367" t="str">
        <f>"303002"</f>
        <v>303002</v>
      </c>
      <c r="E2367">
        <v>7567</v>
      </c>
      <c r="F2367">
        <v>4284</v>
      </c>
      <c r="G2367" s="1">
        <v>0.56610000000000005</v>
      </c>
      <c r="H2367">
        <v>11</v>
      </c>
      <c r="I2367">
        <v>7536</v>
      </c>
    </row>
    <row r="2368" spans="1:9" x14ac:dyDescent="0.35">
      <c r="A2368" t="s">
        <v>9</v>
      </c>
      <c r="B2368" t="s">
        <v>2119</v>
      </c>
      <c r="C2368" t="s">
        <v>2315</v>
      </c>
      <c r="D2368" t="str">
        <f>"303003"</f>
        <v>303003</v>
      </c>
      <c r="E2368">
        <v>6105</v>
      </c>
      <c r="F2368">
        <v>3108</v>
      </c>
      <c r="G2368" s="1">
        <v>0.5091</v>
      </c>
      <c r="H2368">
        <v>4</v>
      </c>
      <c r="I2368">
        <v>6021</v>
      </c>
    </row>
    <row r="2369" spans="1:9" x14ac:dyDescent="0.35">
      <c r="A2369" t="s">
        <v>9</v>
      </c>
      <c r="B2369" t="s">
        <v>2119</v>
      </c>
      <c r="C2369" t="s">
        <v>2316</v>
      </c>
      <c r="D2369" t="str">
        <f>"303004"</f>
        <v>303004</v>
      </c>
      <c r="E2369">
        <v>5263</v>
      </c>
      <c r="F2369">
        <v>2760</v>
      </c>
      <c r="G2369" s="1">
        <v>0.52439999999999998</v>
      </c>
      <c r="H2369">
        <v>8</v>
      </c>
      <c r="I2369">
        <v>5226</v>
      </c>
    </row>
    <row r="2370" spans="1:9" x14ac:dyDescent="0.35">
      <c r="A2370" t="s">
        <v>9</v>
      </c>
      <c r="B2370" t="s">
        <v>2119</v>
      </c>
      <c r="C2370" t="s">
        <v>2317</v>
      </c>
      <c r="D2370" t="str">
        <f>"303005"</f>
        <v>303005</v>
      </c>
      <c r="E2370">
        <v>35281</v>
      </c>
      <c r="F2370">
        <v>20713</v>
      </c>
      <c r="G2370" s="1">
        <v>0.58709999999999996</v>
      </c>
      <c r="H2370">
        <v>37</v>
      </c>
      <c r="I2370">
        <v>35176</v>
      </c>
    </row>
    <row r="2371" spans="1:9" x14ac:dyDescent="0.35">
      <c r="A2371" t="s">
        <v>9</v>
      </c>
      <c r="B2371" t="s">
        <v>2119</v>
      </c>
      <c r="C2371" t="s">
        <v>2318</v>
      </c>
      <c r="D2371" t="str">
        <f>"303101"</f>
        <v>303101</v>
      </c>
      <c r="E2371">
        <v>13361</v>
      </c>
      <c r="F2371">
        <v>7760</v>
      </c>
      <c r="G2371" s="1">
        <v>0.58079999999999998</v>
      </c>
      <c r="H2371">
        <v>8</v>
      </c>
      <c r="I2371">
        <v>13308</v>
      </c>
    </row>
    <row r="2372" spans="1:9" x14ac:dyDescent="0.35">
      <c r="A2372" t="s">
        <v>9</v>
      </c>
      <c r="B2372" t="s">
        <v>2119</v>
      </c>
      <c r="C2372" t="s">
        <v>2319</v>
      </c>
      <c r="D2372" t="str">
        <f>"303102"</f>
        <v>303102</v>
      </c>
      <c r="E2372">
        <v>8069</v>
      </c>
      <c r="F2372">
        <v>4039</v>
      </c>
      <c r="G2372" s="1">
        <v>0.50060000000000004</v>
      </c>
      <c r="H2372">
        <v>8</v>
      </c>
      <c r="I2372">
        <v>8030</v>
      </c>
    </row>
    <row r="2373" spans="1:9" x14ac:dyDescent="0.35">
      <c r="A2373" t="s">
        <v>9</v>
      </c>
      <c r="B2373" t="s">
        <v>2119</v>
      </c>
      <c r="C2373" t="s">
        <v>2320</v>
      </c>
      <c r="D2373" t="str">
        <f>"303103"</f>
        <v>303103</v>
      </c>
      <c r="E2373">
        <v>5513</v>
      </c>
      <c r="F2373">
        <v>3185</v>
      </c>
      <c r="G2373" s="1">
        <v>0.57769999999999999</v>
      </c>
      <c r="H2373">
        <v>8</v>
      </c>
      <c r="I2373">
        <v>5497</v>
      </c>
    </row>
    <row r="2374" spans="1:9" x14ac:dyDescent="0.35">
      <c r="A2374" t="s">
        <v>9</v>
      </c>
      <c r="B2374" t="s">
        <v>2119</v>
      </c>
      <c r="C2374" t="s">
        <v>2321</v>
      </c>
      <c r="D2374" t="str">
        <f>"303104"</f>
        <v>303104</v>
      </c>
      <c r="E2374">
        <v>4073</v>
      </c>
      <c r="F2374">
        <v>2106</v>
      </c>
      <c r="G2374" s="1">
        <v>0.5171</v>
      </c>
      <c r="H2374">
        <v>7</v>
      </c>
      <c r="I2374">
        <v>4057</v>
      </c>
    </row>
    <row r="2375" spans="1:9" x14ac:dyDescent="0.35">
      <c r="A2375" t="s">
        <v>9</v>
      </c>
      <c r="B2375" t="s">
        <v>2119</v>
      </c>
      <c r="C2375" t="s">
        <v>2322</v>
      </c>
      <c r="D2375" t="str">
        <f>"303105"</f>
        <v>303105</v>
      </c>
      <c r="E2375">
        <v>6215</v>
      </c>
      <c r="F2375">
        <v>3097</v>
      </c>
      <c r="G2375" s="1">
        <v>0.49830000000000002</v>
      </c>
      <c r="H2375">
        <v>11</v>
      </c>
      <c r="I2375">
        <v>6144</v>
      </c>
    </row>
    <row r="2376" spans="1:9" x14ac:dyDescent="0.35">
      <c r="A2376" t="s">
        <v>9</v>
      </c>
      <c r="B2376" t="s">
        <v>2119</v>
      </c>
      <c r="C2376" t="s">
        <v>2323</v>
      </c>
      <c r="D2376" t="str">
        <f>"303106"</f>
        <v>303106</v>
      </c>
      <c r="E2376">
        <v>2294</v>
      </c>
      <c r="F2376">
        <v>1311</v>
      </c>
      <c r="G2376" s="1">
        <v>0.57150000000000001</v>
      </c>
      <c r="H2376">
        <v>4</v>
      </c>
      <c r="I2376">
        <v>2278</v>
      </c>
    </row>
    <row r="2377" spans="1:9" x14ac:dyDescent="0.35">
      <c r="A2377" t="s">
        <v>9</v>
      </c>
      <c r="B2377" t="s">
        <v>2119</v>
      </c>
      <c r="C2377" t="s">
        <v>189</v>
      </c>
      <c r="D2377" t="str">
        <f>"303107"</f>
        <v>303107</v>
      </c>
      <c r="E2377">
        <v>3671</v>
      </c>
      <c r="F2377">
        <v>2048</v>
      </c>
      <c r="G2377" s="1">
        <v>0.55789999999999995</v>
      </c>
      <c r="H2377">
        <v>8</v>
      </c>
      <c r="I2377">
        <v>3645</v>
      </c>
    </row>
    <row r="2378" spans="1:9" x14ac:dyDescent="0.35">
      <c r="A2378" t="s">
        <v>9</v>
      </c>
      <c r="B2378" t="s">
        <v>2119</v>
      </c>
      <c r="C2378" t="s">
        <v>2324</v>
      </c>
      <c r="D2378" t="str">
        <f>"303108"</f>
        <v>303108</v>
      </c>
      <c r="E2378">
        <v>7331</v>
      </c>
      <c r="F2378">
        <v>4098</v>
      </c>
      <c r="G2378" s="1">
        <v>0.55900000000000005</v>
      </c>
      <c r="H2378">
        <v>15</v>
      </c>
      <c r="I2378">
        <v>7294</v>
      </c>
    </row>
    <row r="2379" spans="1:9" x14ac:dyDescent="0.35">
      <c r="A2379" t="s">
        <v>9</v>
      </c>
      <c r="B2379" t="s">
        <v>2119</v>
      </c>
      <c r="C2379" t="s">
        <v>2325</v>
      </c>
      <c r="D2379" t="str">
        <f>"306101"</f>
        <v>306101</v>
      </c>
      <c r="E2379">
        <v>71279</v>
      </c>
      <c r="F2379">
        <v>42170</v>
      </c>
      <c r="G2379" s="1">
        <v>0.59160000000000001</v>
      </c>
      <c r="H2379">
        <v>51</v>
      </c>
      <c r="I2379">
        <v>71151</v>
      </c>
    </row>
    <row r="2380" spans="1:9" x14ac:dyDescent="0.35">
      <c r="A2380" t="s">
        <v>9</v>
      </c>
      <c r="B2380" t="s">
        <v>2119</v>
      </c>
      <c r="C2380" t="s">
        <v>2326</v>
      </c>
      <c r="D2380" t="str">
        <f>"306201"</f>
        <v>306201</v>
      </c>
      <c r="E2380">
        <v>52606</v>
      </c>
      <c r="F2380">
        <v>31885</v>
      </c>
      <c r="G2380" s="1">
        <v>0.60609999999999997</v>
      </c>
      <c r="H2380">
        <v>45</v>
      </c>
      <c r="I2380">
        <v>52155</v>
      </c>
    </row>
    <row r="2381" spans="1:9" x14ac:dyDescent="0.35">
      <c r="A2381" t="s">
        <v>9</v>
      </c>
      <c r="B2381" t="s">
        <v>2119</v>
      </c>
      <c r="C2381" t="s">
        <v>2327</v>
      </c>
      <c r="D2381" t="str">
        <f>"306301"</f>
        <v>306301</v>
      </c>
      <c r="E2381">
        <v>45072</v>
      </c>
      <c r="F2381">
        <v>27225</v>
      </c>
      <c r="G2381" s="1">
        <v>0.60399999999999998</v>
      </c>
      <c r="H2381">
        <v>33</v>
      </c>
      <c r="I2381">
        <v>44907</v>
      </c>
    </row>
    <row r="2382" spans="1:9" x14ac:dyDescent="0.35">
      <c r="A2382" t="s">
        <v>9</v>
      </c>
      <c r="B2382" t="s">
        <v>2119</v>
      </c>
      <c r="C2382" t="s">
        <v>2328</v>
      </c>
      <c r="D2382" t="str">
        <f>"306401"</f>
        <v>306401</v>
      </c>
      <c r="E2382">
        <v>402165</v>
      </c>
      <c r="F2382">
        <v>245619</v>
      </c>
      <c r="G2382" s="1">
        <v>0.61070000000000002</v>
      </c>
      <c r="H2382">
        <v>227</v>
      </c>
      <c r="I2382">
        <v>397187</v>
      </c>
    </row>
    <row r="2383" spans="1:9" x14ac:dyDescent="0.35">
      <c r="A2383" t="s">
        <v>9</v>
      </c>
      <c r="B2383" t="s">
        <v>2329</v>
      </c>
      <c r="C2383" t="s">
        <v>2330</v>
      </c>
      <c r="D2383" t="str">
        <f>"320101"</f>
        <v>320101</v>
      </c>
      <c r="E2383">
        <v>16432</v>
      </c>
      <c r="F2383">
        <v>9079</v>
      </c>
      <c r="G2383" s="1">
        <v>0.55249999999999999</v>
      </c>
      <c r="H2383">
        <v>14</v>
      </c>
      <c r="I2383">
        <v>16272</v>
      </c>
    </row>
    <row r="2384" spans="1:9" x14ac:dyDescent="0.35">
      <c r="A2384" t="s">
        <v>9</v>
      </c>
      <c r="B2384" t="s">
        <v>2329</v>
      </c>
      <c r="C2384" t="s">
        <v>2331</v>
      </c>
      <c r="D2384" t="str">
        <f>"320102"</f>
        <v>320102</v>
      </c>
      <c r="E2384">
        <v>5600</v>
      </c>
      <c r="F2384">
        <v>2876</v>
      </c>
      <c r="G2384" s="1">
        <v>0.51359999999999995</v>
      </c>
      <c r="H2384">
        <v>7</v>
      </c>
      <c r="I2384">
        <v>5583</v>
      </c>
    </row>
    <row r="2385" spans="1:9" x14ac:dyDescent="0.35">
      <c r="A2385" t="s">
        <v>9</v>
      </c>
      <c r="B2385" t="s">
        <v>2329</v>
      </c>
      <c r="C2385" t="s">
        <v>2332</v>
      </c>
      <c r="D2385" t="str">
        <f>"320103"</f>
        <v>320103</v>
      </c>
      <c r="E2385">
        <v>6356</v>
      </c>
      <c r="F2385">
        <v>2835</v>
      </c>
      <c r="G2385" s="1">
        <v>0.44600000000000001</v>
      </c>
      <c r="H2385">
        <v>6</v>
      </c>
      <c r="I2385">
        <v>6323</v>
      </c>
    </row>
    <row r="2386" spans="1:9" x14ac:dyDescent="0.35">
      <c r="A2386" t="s">
        <v>9</v>
      </c>
      <c r="B2386" t="s">
        <v>2329</v>
      </c>
      <c r="C2386" t="s">
        <v>2333</v>
      </c>
      <c r="D2386" t="str">
        <f>"320104"</f>
        <v>320104</v>
      </c>
      <c r="E2386">
        <v>4767</v>
      </c>
      <c r="F2386">
        <v>2457</v>
      </c>
      <c r="G2386" s="1">
        <v>0.51539999999999997</v>
      </c>
      <c r="H2386">
        <v>5</v>
      </c>
      <c r="I2386">
        <v>4753</v>
      </c>
    </row>
    <row r="2387" spans="1:9" x14ac:dyDescent="0.35">
      <c r="A2387" t="s">
        <v>9</v>
      </c>
      <c r="B2387" t="s">
        <v>2329</v>
      </c>
      <c r="C2387" t="s">
        <v>2334</v>
      </c>
      <c r="D2387" t="str">
        <f>"320201"</f>
        <v>320201</v>
      </c>
      <c r="E2387">
        <v>3520</v>
      </c>
      <c r="F2387">
        <v>1694</v>
      </c>
      <c r="G2387" s="1">
        <v>0.48120000000000002</v>
      </c>
      <c r="H2387">
        <v>4</v>
      </c>
      <c r="I2387">
        <v>3461</v>
      </c>
    </row>
    <row r="2388" spans="1:9" x14ac:dyDescent="0.35">
      <c r="A2388" t="s">
        <v>9</v>
      </c>
      <c r="B2388" t="s">
        <v>2329</v>
      </c>
      <c r="C2388" t="s">
        <v>2335</v>
      </c>
      <c r="D2388" t="str">
        <f>"320202"</f>
        <v>320202</v>
      </c>
      <c r="E2388">
        <v>15206</v>
      </c>
      <c r="F2388">
        <v>8680</v>
      </c>
      <c r="G2388" s="1">
        <v>0.57079999999999997</v>
      </c>
      <c r="H2388">
        <v>24</v>
      </c>
      <c r="I2388">
        <v>15071</v>
      </c>
    </row>
    <row r="2389" spans="1:9" x14ac:dyDescent="0.35">
      <c r="A2389" t="s">
        <v>9</v>
      </c>
      <c r="B2389" t="s">
        <v>2329</v>
      </c>
      <c r="C2389" t="s">
        <v>2336</v>
      </c>
      <c r="D2389" t="str">
        <f>"320203"</f>
        <v>320203</v>
      </c>
      <c r="E2389">
        <v>3673</v>
      </c>
      <c r="F2389">
        <v>1931</v>
      </c>
      <c r="G2389" s="1">
        <v>0.52569999999999995</v>
      </c>
      <c r="H2389">
        <v>7</v>
      </c>
      <c r="I2389">
        <v>3603</v>
      </c>
    </row>
    <row r="2390" spans="1:9" x14ac:dyDescent="0.35">
      <c r="A2390" t="s">
        <v>9</v>
      </c>
      <c r="B2390" t="s">
        <v>2329</v>
      </c>
      <c r="C2390" t="s">
        <v>2337</v>
      </c>
      <c r="D2390" t="str">
        <f>"320204"</f>
        <v>320204</v>
      </c>
      <c r="E2390">
        <v>2618</v>
      </c>
      <c r="F2390">
        <v>1442</v>
      </c>
      <c r="G2390" s="1">
        <v>0.55079999999999996</v>
      </c>
      <c r="H2390">
        <v>7</v>
      </c>
      <c r="I2390">
        <v>2596</v>
      </c>
    </row>
    <row r="2391" spans="1:9" x14ac:dyDescent="0.35">
      <c r="A2391" t="s">
        <v>9</v>
      </c>
      <c r="B2391" t="s">
        <v>2329</v>
      </c>
      <c r="C2391" t="s">
        <v>2338</v>
      </c>
      <c r="D2391" t="str">
        <f>"320205"</f>
        <v>320205</v>
      </c>
      <c r="E2391">
        <v>5545</v>
      </c>
      <c r="F2391">
        <v>2676</v>
      </c>
      <c r="G2391" s="1">
        <v>0.48259999999999997</v>
      </c>
      <c r="H2391">
        <v>12</v>
      </c>
      <c r="I2391">
        <v>5480</v>
      </c>
    </row>
    <row r="2392" spans="1:9" x14ac:dyDescent="0.35">
      <c r="A2392" t="s">
        <v>9</v>
      </c>
      <c r="B2392" t="s">
        <v>2329</v>
      </c>
      <c r="C2392" t="s">
        <v>2339</v>
      </c>
      <c r="D2392" t="str">
        <f>"320206"</f>
        <v>320206</v>
      </c>
      <c r="E2392">
        <v>3906</v>
      </c>
      <c r="F2392">
        <v>1926</v>
      </c>
      <c r="G2392" s="1">
        <v>0.49309999999999998</v>
      </c>
      <c r="H2392">
        <v>5</v>
      </c>
      <c r="I2392">
        <v>3894</v>
      </c>
    </row>
    <row r="2393" spans="1:9" x14ac:dyDescent="0.35">
      <c r="A2393" t="s">
        <v>9</v>
      </c>
      <c r="B2393" t="s">
        <v>2329</v>
      </c>
      <c r="C2393" t="s">
        <v>2340</v>
      </c>
      <c r="D2393" t="str">
        <f>"320301"</f>
        <v>320301</v>
      </c>
      <c r="E2393">
        <v>8574</v>
      </c>
      <c r="F2393">
        <v>4302</v>
      </c>
      <c r="G2393" s="1">
        <v>0.50170000000000003</v>
      </c>
      <c r="H2393">
        <v>8</v>
      </c>
      <c r="I2393">
        <v>8496</v>
      </c>
    </row>
    <row r="2394" spans="1:9" x14ac:dyDescent="0.35">
      <c r="A2394" t="s">
        <v>9</v>
      </c>
      <c r="B2394" t="s">
        <v>2329</v>
      </c>
      <c r="C2394" t="s">
        <v>2341</v>
      </c>
      <c r="D2394" t="str">
        <f>"320302"</f>
        <v>320302</v>
      </c>
      <c r="E2394">
        <v>12517</v>
      </c>
      <c r="F2394">
        <v>6909</v>
      </c>
      <c r="G2394" s="1">
        <v>0.55200000000000005</v>
      </c>
      <c r="H2394">
        <v>19</v>
      </c>
      <c r="I2394">
        <v>12456</v>
      </c>
    </row>
    <row r="2395" spans="1:9" x14ac:dyDescent="0.35">
      <c r="A2395" t="s">
        <v>9</v>
      </c>
      <c r="B2395" t="s">
        <v>2329</v>
      </c>
      <c r="C2395" t="s">
        <v>2342</v>
      </c>
      <c r="D2395" t="str">
        <f>"320303"</f>
        <v>320303</v>
      </c>
      <c r="E2395">
        <v>5138</v>
      </c>
      <c r="F2395">
        <v>2599</v>
      </c>
      <c r="G2395" s="1">
        <v>0.50580000000000003</v>
      </c>
      <c r="H2395">
        <v>10</v>
      </c>
      <c r="I2395">
        <v>5064</v>
      </c>
    </row>
    <row r="2396" spans="1:9" x14ac:dyDescent="0.35">
      <c r="A2396" t="s">
        <v>9</v>
      </c>
      <c r="B2396" t="s">
        <v>2329</v>
      </c>
      <c r="C2396" t="s">
        <v>2343</v>
      </c>
      <c r="D2396" t="str">
        <f>"320305"</f>
        <v>320305</v>
      </c>
      <c r="E2396">
        <v>3161</v>
      </c>
      <c r="F2396">
        <v>1646</v>
      </c>
      <c r="G2396" s="1">
        <v>0.52070000000000005</v>
      </c>
      <c r="H2396">
        <v>6</v>
      </c>
      <c r="I2396">
        <v>3148</v>
      </c>
    </row>
    <row r="2397" spans="1:9" x14ac:dyDescent="0.35">
      <c r="A2397" t="s">
        <v>9</v>
      </c>
      <c r="B2397" t="s">
        <v>2329</v>
      </c>
      <c r="C2397" t="s">
        <v>2344</v>
      </c>
      <c r="D2397" t="str">
        <f>"320306"</f>
        <v>320306</v>
      </c>
      <c r="E2397">
        <v>11635</v>
      </c>
      <c r="F2397">
        <v>6051</v>
      </c>
      <c r="G2397" s="1">
        <v>0.52010000000000001</v>
      </c>
      <c r="H2397">
        <v>17</v>
      </c>
      <c r="I2397">
        <v>11553</v>
      </c>
    </row>
    <row r="2398" spans="1:9" x14ac:dyDescent="0.35">
      <c r="A2398" t="s">
        <v>9</v>
      </c>
      <c r="B2398" t="s">
        <v>2329</v>
      </c>
      <c r="C2398" t="s">
        <v>2345</v>
      </c>
      <c r="D2398" t="str">
        <f>"320402"</f>
        <v>320402</v>
      </c>
      <c r="E2398">
        <v>26656</v>
      </c>
      <c r="F2398">
        <v>15792</v>
      </c>
      <c r="G2398" s="1">
        <v>0.59240000000000004</v>
      </c>
      <c r="H2398">
        <v>28</v>
      </c>
      <c r="I2398">
        <v>26493</v>
      </c>
    </row>
    <row r="2399" spans="1:9" x14ac:dyDescent="0.35">
      <c r="A2399" t="s">
        <v>9</v>
      </c>
      <c r="B2399" t="s">
        <v>2329</v>
      </c>
      <c r="C2399" t="s">
        <v>551</v>
      </c>
      <c r="D2399" t="str">
        <f>"320403"</f>
        <v>320403</v>
      </c>
      <c r="E2399">
        <v>6499</v>
      </c>
      <c r="F2399">
        <v>3517</v>
      </c>
      <c r="G2399" s="1">
        <v>0.54120000000000001</v>
      </c>
      <c r="H2399">
        <v>11</v>
      </c>
      <c r="I2399">
        <v>6470</v>
      </c>
    </row>
    <row r="2400" spans="1:9" x14ac:dyDescent="0.35">
      <c r="A2400" t="s">
        <v>9</v>
      </c>
      <c r="B2400" t="s">
        <v>2329</v>
      </c>
      <c r="C2400" t="s">
        <v>2346</v>
      </c>
      <c r="D2400" t="str">
        <f>"320404"</f>
        <v>320404</v>
      </c>
      <c r="E2400">
        <v>17401</v>
      </c>
      <c r="F2400">
        <v>9657</v>
      </c>
      <c r="G2400" s="1">
        <v>0.55500000000000005</v>
      </c>
      <c r="H2400">
        <v>16</v>
      </c>
      <c r="I2400">
        <v>17339</v>
      </c>
    </row>
    <row r="2401" spans="1:9" x14ac:dyDescent="0.35">
      <c r="A2401" t="s">
        <v>9</v>
      </c>
      <c r="B2401" t="s">
        <v>2329</v>
      </c>
      <c r="C2401" t="s">
        <v>2347</v>
      </c>
      <c r="D2401" t="str">
        <f>"320405"</f>
        <v>320405</v>
      </c>
      <c r="E2401">
        <v>2233</v>
      </c>
      <c r="F2401">
        <v>1271</v>
      </c>
      <c r="G2401" s="1">
        <v>0.56920000000000004</v>
      </c>
      <c r="H2401">
        <v>4</v>
      </c>
      <c r="I2401">
        <v>2256</v>
      </c>
    </row>
    <row r="2402" spans="1:9" x14ac:dyDescent="0.35">
      <c r="A2402" t="s">
        <v>9</v>
      </c>
      <c r="B2402" t="s">
        <v>2329</v>
      </c>
      <c r="C2402" t="s">
        <v>2348</v>
      </c>
      <c r="D2402" t="str">
        <f>"320406"</f>
        <v>320406</v>
      </c>
      <c r="E2402">
        <v>3745</v>
      </c>
      <c r="F2402">
        <v>1948</v>
      </c>
      <c r="G2402" s="1">
        <v>0.5202</v>
      </c>
      <c r="H2402">
        <v>3</v>
      </c>
      <c r="I2402">
        <v>3709</v>
      </c>
    </row>
    <row r="2403" spans="1:9" x14ac:dyDescent="0.35">
      <c r="A2403" t="s">
        <v>9</v>
      </c>
      <c r="B2403" t="s">
        <v>2329</v>
      </c>
      <c r="C2403" t="s">
        <v>2349</v>
      </c>
      <c r="D2403" t="str">
        <f>"320407"</f>
        <v>320407</v>
      </c>
      <c r="E2403">
        <v>3479</v>
      </c>
      <c r="F2403">
        <v>1771</v>
      </c>
      <c r="G2403" s="1">
        <v>0.5091</v>
      </c>
      <c r="H2403">
        <v>4</v>
      </c>
      <c r="I2403">
        <v>3453</v>
      </c>
    </row>
    <row r="2404" spans="1:9" x14ac:dyDescent="0.35">
      <c r="A2404" t="s">
        <v>9</v>
      </c>
      <c r="B2404" t="s">
        <v>2329</v>
      </c>
      <c r="C2404" t="s">
        <v>2350</v>
      </c>
      <c r="D2404" t="str">
        <f>"320501"</f>
        <v>320501</v>
      </c>
      <c r="E2404">
        <v>2657</v>
      </c>
      <c r="F2404">
        <v>1355</v>
      </c>
      <c r="G2404" s="1">
        <v>0.51</v>
      </c>
      <c r="H2404">
        <v>5</v>
      </c>
      <c r="I2404">
        <v>2629</v>
      </c>
    </row>
    <row r="2405" spans="1:9" x14ac:dyDescent="0.35">
      <c r="A2405" t="s">
        <v>9</v>
      </c>
      <c r="B2405" t="s">
        <v>2329</v>
      </c>
      <c r="C2405" t="s">
        <v>2351</v>
      </c>
      <c r="D2405" t="str">
        <f>"320502"</f>
        <v>320502</v>
      </c>
      <c r="E2405">
        <v>16656</v>
      </c>
      <c r="F2405">
        <v>8793</v>
      </c>
      <c r="G2405" s="1">
        <v>0.52790000000000004</v>
      </c>
      <c r="H2405">
        <v>19</v>
      </c>
      <c r="I2405">
        <v>16581</v>
      </c>
    </row>
    <row r="2406" spans="1:9" x14ac:dyDescent="0.35">
      <c r="A2406" t="s">
        <v>9</v>
      </c>
      <c r="B2406" t="s">
        <v>2329</v>
      </c>
      <c r="C2406" t="s">
        <v>2352</v>
      </c>
      <c r="D2406" t="str">
        <f>"320503"</f>
        <v>320503</v>
      </c>
      <c r="E2406">
        <v>2939</v>
      </c>
      <c r="F2406">
        <v>1664</v>
      </c>
      <c r="G2406" s="1">
        <v>0.56620000000000004</v>
      </c>
      <c r="H2406">
        <v>4</v>
      </c>
      <c r="I2406">
        <v>2883</v>
      </c>
    </row>
    <row r="2407" spans="1:9" x14ac:dyDescent="0.35">
      <c r="A2407" t="s">
        <v>9</v>
      </c>
      <c r="B2407" t="s">
        <v>2329</v>
      </c>
      <c r="C2407" t="s">
        <v>2353</v>
      </c>
      <c r="D2407" t="str">
        <f>"320504"</f>
        <v>320504</v>
      </c>
      <c r="E2407">
        <v>6260</v>
      </c>
      <c r="F2407">
        <v>3107</v>
      </c>
      <c r="G2407" s="1">
        <v>0.49630000000000002</v>
      </c>
      <c r="H2407">
        <v>11</v>
      </c>
      <c r="I2407">
        <v>6222</v>
      </c>
    </row>
    <row r="2408" spans="1:9" x14ac:dyDescent="0.35">
      <c r="A2408" t="s">
        <v>9</v>
      </c>
      <c r="B2408" t="s">
        <v>2329</v>
      </c>
      <c r="C2408" t="s">
        <v>2354</v>
      </c>
      <c r="D2408" t="str">
        <f>"320507"</f>
        <v>320507</v>
      </c>
      <c r="E2408">
        <v>3618</v>
      </c>
      <c r="F2408">
        <v>2405</v>
      </c>
      <c r="G2408" s="1">
        <v>0.66469999999999996</v>
      </c>
      <c r="H2408">
        <v>4</v>
      </c>
      <c r="I2408">
        <v>3216</v>
      </c>
    </row>
    <row r="2409" spans="1:9" x14ac:dyDescent="0.35">
      <c r="A2409" t="s">
        <v>9</v>
      </c>
      <c r="B2409" t="s">
        <v>2329</v>
      </c>
      <c r="C2409" t="s">
        <v>2355</v>
      </c>
      <c r="D2409" t="str">
        <f>"320508"</f>
        <v>320508</v>
      </c>
      <c r="E2409">
        <v>11183</v>
      </c>
      <c r="F2409">
        <v>5594</v>
      </c>
      <c r="G2409" s="1">
        <v>0.50019999999999998</v>
      </c>
      <c r="H2409">
        <v>11</v>
      </c>
      <c r="I2409">
        <v>11026</v>
      </c>
    </row>
    <row r="2410" spans="1:9" x14ac:dyDescent="0.35">
      <c r="A2410" t="s">
        <v>9</v>
      </c>
      <c r="B2410" t="s">
        <v>2329</v>
      </c>
      <c r="C2410" t="s">
        <v>2356</v>
      </c>
      <c r="D2410" t="str">
        <f>"320601"</f>
        <v>320601</v>
      </c>
      <c r="E2410">
        <v>4600</v>
      </c>
      <c r="F2410">
        <v>2240</v>
      </c>
      <c r="G2410" s="1">
        <v>0.48699999999999999</v>
      </c>
      <c r="H2410">
        <v>7</v>
      </c>
      <c r="I2410">
        <v>4582</v>
      </c>
    </row>
    <row r="2411" spans="1:9" x14ac:dyDescent="0.35">
      <c r="A2411" t="s">
        <v>9</v>
      </c>
      <c r="B2411" t="s">
        <v>2329</v>
      </c>
      <c r="C2411" t="s">
        <v>2357</v>
      </c>
      <c r="D2411" t="str">
        <f>"320602"</f>
        <v>320602</v>
      </c>
      <c r="E2411">
        <v>3185</v>
      </c>
      <c r="F2411">
        <v>1546</v>
      </c>
      <c r="G2411" s="1">
        <v>0.4854</v>
      </c>
      <c r="H2411">
        <v>3</v>
      </c>
      <c r="I2411">
        <v>3129</v>
      </c>
    </row>
    <row r="2412" spans="1:9" x14ac:dyDescent="0.35">
      <c r="A2412" t="s">
        <v>9</v>
      </c>
      <c r="B2412" t="s">
        <v>2329</v>
      </c>
      <c r="C2412" t="s">
        <v>2358</v>
      </c>
      <c r="D2412" t="str">
        <f>"320603"</f>
        <v>320603</v>
      </c>
      <c r="E2412">
        <v>10030</v>
      </c>
      <c r="F2412">
        <v>5296</v>
      </c>
      <c r="G2412" s="1">
        <v>0.52800000000000002</v>
      </c>
      <c r="H2412">
        <v>10</v>
      </c>
      <c r="I2412">
        <v>9949</v>
      </c>
    </row>
    <row r="2413" spans="1:9" x14ac:dyDescent="0.35">
      <c r="A2413" t="s">
        <v>9</v>
      </c>
      <c r="B2413" t="s">
        <v>2329</v>
      </c>
      <c r="C2413" t="s">
        <v>2359</v>
      </c>
      <c r="D2413" t="str">
        <f>"320604"</f>
        <v>320604</v>
      </c>
      <c r="E2413">
        <v>22496</v>
      </c>
      <c r="F2413">
        <v>12810</v>
      </c>
      <c r="G2413" s="1">
        <v>0.56940000000000002</v>
      </c>
      <c r="H2413">
        <v>27</v>
      </c>
      <c r="I2413">
        <v>22292</v>
      </c>
    </row>
    <row r="2414" spans="1:9" x14ac:dyDescent="0.35">
      <c r="A2414" t="s">
        <v>9</v>
      </c>
      <c r="B2414" t="s">
        <v>2329</v>
      </c>
      <c r="C2414" t="s">
        <v>2360</v>
      </c>
      <c r="D2414" t="str">
        <f>"320605"</f>
        <v>320605</v>
      </c>
      <c r="E2414">
        <v>5074</v>
      </c>
      <c r="F2414">
        <v>2561</v>
      </c>
      <c r="G2414" s="1">
        <v>0.50470000000000004</v>
      </c>
      <c r="H2414">
        <v>7</v>
      </c>
      <c r="I2414">
        <v>5036</v>
      </c>
    </row>
    <row r="2415" spans="1:9" x14ac:dyDescent="0.35">
      <c r="A2415" t="s">
        <v>9</v>
      </c>
      <c r="B2415" t="s">
        <v>2329</v>
      </c>
      <c r="C2415" t="s">
        <v>2361</v>
      </c>
      <c r="D2415" t="str">
        <f>"320606"</f>
        <v>320606</v>
      </c>
      <c r="E2415">
        <v>3131</v>
      </c>
      <c r="F2415">
        <v>1592</v>
      </c>
      <c r="G2415" s="1">
        <v>0.50849999999999995</v>
      </c>
      <c r="H2415">
        <v>4</v>
      </c>
      <c r="I2415">
        <v>3098</v>
      </c>
    </row>
    <row r="2416" spans="1:9" x14ac:dyDescent="0.35">
      <c r="A2416" t="s">
        <v>9</v>
      </c>
      <c r="B2416" t="s">
        <v>2329</v>
      </c>
      <c r="C2416" t="s">
        <v>2362</v>
      </c>
      <c r="D2416" t="str">
        <f>"320607"</f>
        <v>320607</v>
      </c>
      <c r="E2416">
        <v>2874</v>
      </c>
      <c r="F2416">
        <v>1685</v>
      </c>
      <c r="G2416" s="1">
        <v>0.58630000000000004</v>
      </c>
      <c r="H2416">
        <v>6</v>
      </c>
      <c r="I2416">
        <v>2863</v>
      </c>
    </row>
    <row r="2417" spans="1:9" x14ac:dyDescent="0.35">
      <c r="A2417" t="s">
        <v>9</v>
      </c>
      <c r="B2417" t="s">
        <v>2329</v>
      </c>
      <c r="C2417" t="s">
        <v>2363</v>
      </c>
      <c r="D2417" t="str">
        <f>"320608"</f>
        <v>320608</v>
      </c>
      <c r="E2417">
        <v>3794</v>
      </c>
      <c r="F2417">
        <v>1919</v>
      </c>
      <c r="G2417" s="1">
        <v>0.50580000000000003</v>
      </c>
      <c r="H2417">
        <v>6</v>
      </c>
      <c r="I2417">
        <v>3775</v>
      </c>
    </row>
    <row r="2418" spans="1:9" x14ac:dyDescent="0.35">
      <c r="A2418" t="s">
        <v>9</v>
      </c>
      <c r="B2418" t="s">
        <v>2329</v>
      </c>
      <c r="C2418" t="s">
        <v>2364</v>
      </c>
      <c r="D2418" t="str">
        <f>"320609"</f>
        <v>320609</v>
      </c>
      <c r="E2418">
        <v>3882</v>
      </c>
      <c r="F2418">
        <v>1997</v>
      </c>
      <c r="G2418" s="1">
        <v>0.51439999999999997</v>
      </c>
      <c r="H2418">
        <v>6</v>
      </c>
      <c r="I2418">
        <v>3865</v>
      </c>
    </row>
    <row r="2419" spans="1:9" x14ac:dyDescent="0.35">
      <c r="A2419" t="s">
        <v>9</v>
      </c>
      <c r="B2419" t="s">
        <v>2329</v>
      </c>
      <c r="C2419" t="s">
        <v>2365</v>
      </c>
      <c r="D2419" t="str">
        <f>"320701"</f>
        <v>320701</v>
      </c>
      <c r="E2419">
        <v>3641</v>
      </c>
      <c r="F2419">
        <v>2430</v>
      </c>
      <c r="G2419" s="1">
        <v>0.66739999999999999</v>
      </c>
      <c r="H2419">
        <v>5</v>
      </c>
      <c r="I2419">
        <v>3099</v>
      </c>
    </row>
    <row r="2420" spans="1:9" x14ac:dyDescent="0.35">
      <c r="A2420" t="s">
        <v>9</v>
      </c>
      <c r="B2420" t="s">
        <v>2329</v>
      </c>
      <c r="C2420" t="s">
        <v>2366</v>
      </c>
      <c r="D2420" t="str">
        <f>"320702"</f>
        <v>320702</v>
      </c>
      <c r="E2420">
        <v>4320</v>
      </c>
      <c r="F2420">
        <v>2251</v>
      </c>
      <c r="G2420" s="1">
        <v>0.52110000000000001</v>
      </c>
      <c r="H2420">
        <v>4</v>
      </c>
      <c r="I2420">
        <v>4289</v>
      </c>
    </row>
    <row r="2421" spans="1:9" x14ac:dyDescent="0.35">
      <c r="A2421" t="s">
        <v>9</v>
      </c>
      <c r="B2421" t="s">
        <v>2329</v>
      </c>
      <c r="C2421" t="s">
        <v>2367</v>
      </c>
      <c r="D2421" t="str">
        <f>"320703"</f>
        <v>320703</v>
      </c>
      <c r="E2421">
        <v>10587</v>
      </c>
      <c r="F2421">
        <v>6080</v>
      </c>
      <c r="G2421" s="1">
        <v>0.57430000000000003</v>
      </c>
      <c r="H2421">
        <v>11</v>
      </c>
      <c r="I2421">
        <v>10257</v>
      </c>
    </row>
    <row r="2422" spans="1:9" x14ac:dyDescent="0.35">
      <c r="A2422" t="s">
        <v>9</v>
      </c>
      <c r="B2422" t="s">
        <v>2329</v>
      </c>
      <c r="C2422" t="s">
        <v>2368</v>
      </c>
      <c r="D2422" t="str">
        <f>"320704"</f>
        <v>320704</v>
      </c>
      <c r="E2422">
        <v>5307</v>
      </c>
      <c r="F2422">
        <v>3077</v>
      </c>
      <c r="G2422" s="1">
        <v>0.57979999999999998</v>
      </c>
      <c r="H2422">
        <v>6</v>
      </c>
      <c r="I2422">
        <v>4951</v>
      </c>
    </row>
    <row r="2423" spans="1:9" x14ac:dyDescent="0.35">
      <c r="A2423" t="s">
        <v>9</v>
      </c>
      <c r="B2423" t="s">
        <v>2329</v>
      </c>
      <c r="C2423" t="s">
        <v>2369</v>
      </c>
      <c r="D2423" t="str">
        <f>"320705"</f>
        <v>320705</v>
      </c>
      <c r="E2423">
        <v>3086</v>
      </c>
      <c r="F2423">
        <v>1608</v>
      </c>
      <c r="G2423" s="1">
        <v>0.52110000000000001</v>
      </c>
      <c r="H2423">
        <v>6</v>
      </c>
      <c r="I2423">
        <v>3065</v>
      </c>
    </row>
    <row r="2424" spans="1:9" x14ac:dyDescent="0.35">
      <c r="A2424" t="s">
        <v>9</v>
      </c>
      <c r="B2424" t="s">
        <v>2329</v>
      </c>
      <c r="C2424" t="s">
        <v>2370</v>
      </c>
      <c r="D2424" t="str">
        <f>"320706"</f>
        <v>320706</v>
      </c>
      <c r="E2424">
        <v>8978</v>
      </c>
      <c r="F2424">
        <v>4770</v>
      </c>
      <c r="G2424" s="1">
        <v>0.53129999999999999</v>
      </c>
      <c r="H2424">
        <v>16</v>
      </c>
      <c r="I2424">
        <v>8936</v>
      </c>
    </row>
    <row r="2425" spans="1:9" x14ac:dyDescent="0.35">
      <c r="A2425" t="s">
        <v>9</v>
      </c>
      <c r="B2425" t="s">
        <v>2329</v>
      </c>
      <c r="C2425" t="s">
        <v>2371</v>
      </c>
      <c r="D2425" t="str">
        <f>"320801"</f>
        <v>320801</v>
      </c>
      <c r="E2425">
        <v>38105</v>
      </c>
      <c r="F2425">
        <v>23157</v>
      </c>
      <c r="G2425" s="1">
        <v>0.60770000000000002</v>
      </c>
      <c r="H2425">
        <v>23</v>
      </c>
      <c r="I2425">
        <v>33637</v>
      </c>
    </row>
    <row r="2426" spans="1:9" x14ac:dyDescent="0.35">
      <c r="A2426" t="s">
        <v>9</v>
      </c>
      <c r="B2426" t="s">
        <v>2329</v>
      </c>
      <c r="C2426" t="s">
        <v>2372</v>
      </c>
      <c r="D2426" t="str">
        <f>"320802"</f>
        <v>320802</v>
      </c>
      <c r="E2426">
        <v>4028</v>
      </c>
      <c r="F2426">
        <v>2182</v>
      </c>
      <c r="G2426" s="1">
        <v>0.54169999999999996</v>
      </c>
      <c r="H2426">
        <v>6</v>
      </c>
      <c r="I2426">
        <v>4020</v>
      </c>
    </row>
    <row r="2427" spans="1:9" x14ac:dyDescent="0.35">
      <c r="A2427" t="s">
        <v>9</v>
      </c>
      <c r="B2427" t="s">
        <v>2329</v>
      </c>
      <c r="C2427" t="s">
        <v>2373</v>
      </c>
      <c r="D2427" t="str">
        <f>"320803"</f>
        <v>320803</v>
      </c>
      <c r="E2427">
        <v>3879</v>
      </c>
      <c r="F2427">
        <v>2041</v>
      </c>
      <c r="G2427" s="1">
        <v>0.5262</v>
      </c>
      <c r="H2427">
        <v>6</v>
      </c>
      <c r="I2427">
        <v>3852</v>
      </c>
    </row>
    <row r="2428" spans="1:9" x14ac:dyDescent="0.35">
      <c r="A2428" t="s">
        <v>9</v>
      </c>
      <c r="B2428" t="s">
        <v>2329</v>
      </c>
      <c r="C2428" t="s">
        <v>2374</v>
      </c>
      <c r="D2428" t="str">
        <f>"320804"</f>
        <v>320804</v>
      </c>
      <c r="E2428">
        <v>8704</v>
      </c>
      <c r="F2428">
        <v>5268</v>
      </c>
      <c r="G2428" s="1">
        <v>0.60519999999999996</v>
      </c>
      <c r="H2428">
        <v>10</v>
      </c>
      <c r="I2428">
        <v>8204</v>
      </c>
    </row>
    <row r="2429" spans="1:9" x14ac:dyDescent="0.35">
      <c r="A2429" t="s">
        <v>9</v>
      </c>
      <c r="B2429" t="s">
        <v>2329</v>
      </c>
      <c r="C2429" t="s">
        <v>2375</v>
      </c>
      <c r="D2429" t="str">
        <f>"320805"</f>
        <v>320805</v>
      </c>
      <c r="E2429">
        <v>2900</v>
      </c>
      <c r="F2429">
        <v>1514</v>
      </c>
      <c r="G2429" s="1">
        <v>0.52210000000000001</v>
      </c>
      <c r="H2429">
        <v>7</v>
      </c>
      <c r="I2429">
        <v>2873</v>
      </c>
    </row>
    <row r="2430" spans="1:9" x14ac:dyDescent="0.35">
      <c r="A2430" t="s">
        <v>9</v>
      </c>
      <c r="B2430" t="s">
        <v>2329</v>
      </c>
      <c r="C2430" t="s">
        <v>2376</v>
      </c>
      <c r="D2430" t="str">
        <f>"320806"</f>
        <v>320806</v>
      </c>
      <c r="E2430">
        <v>2960</v>
      </c>
      <c r="F2430">
        <v>1606</v>
      </c>
      <c r="G2430" s="1">
        <v>0.54259999999999997</v>
      </c>
      <c r="H2430">
        <v>4</v>
      </c>
      <c r="I2430">
        <v>2920</v>
      </c>
    </row>
    <row r="2431" spans="1:9" x14ac:dyDescent="0.35">
      <c r="A2431" t="s">
        <v>9</v>
      </c>
      <c r="B2431" t="s">
        <v>2329</v>
      </c>
      <c r="C2431" t="s">
        <v>2377</v>
      </c>
      <c r="D2431" t="str">
        <f>"320807"</f>
        <v>320807</v>
      </c>
      <c r="E2431">
        <v>3728</v>
      </c>
      <c r="F2431">
        <v>2317</v>
      </c>
      <c r="G2431" s="1">
        <v>0.62150000000000005</v>
      </c>
      <c r="H2431">
        <v>3</v>
      </c>
      <c r="I2431">
        <v>3085</v>
      </c>
    </row>
    <row r="2432" spans="1:9" x14ac:dyDescent="0.35">
      <c r="A2432" t="s">
        <v>9</v>
      </c>
      <c r="B2432" t="s">
        <v>2329</v>
      </c>
      <c r="C2432" t="s">
        <v>2378</v>
      </c>
      <c r="D2432" t="str">
        <f>"320901"</f>
        <v>320901</v>
      </c>
      <c r="E2432">
        <v>6598</v>
      </c>
      <c r="F2432">
        <v>3299</v>
      </c>
      <c r="G2432" s="1">
        <v>0.5</v>
      </c>
      <c r="H2432">
        <v>7</v>
      </c>
      <c r="I2432">
        <v>6484</v>
      </c>
    </row>
    <row r="2433" spans="1:9" x14ac:dyDescent="0.35">
      <c r="A2433" t="s">
        <v>9</v>
      </c>
      <c r="B2433" t="s">
        <v>2329</v>
      </c>
      <c r="C2433" t="s">
        <v>2379</v>
      </c>
      <c r="D2433" t="str">
        <f>"320902"</f>
        <v>320902</v>
      </c>
      <c r="E2433">
        <v>4652</v>
      </c>
      <c r="F2433">
        <v>2828</v>
      </c>
      <c r="G2433" s="1">
        <v>0.6079</v>
      </c>
      <c r="H2433">
        <v>4</v>
      </c>
      <c r="I2433">
        <v>4633</v>
      </c>
    </row>
    <row r="2434" spans="1:9" x14ac:dyDescent="0.35">
      <c r="A2434" t="s">
        <v>9</v>
      </c>
      <c r="B2434" t="s">
        <v>2329</v>
      </c>
      <c r="C2434" t="s">
        <v>2380</v>
      </c>
      <c r="D2434" t="str">
        <f>"320903"</f>
        <v>320903</v>
      </c>
      <c r="E2434">
        <v>6408</v>
      </c>
      <c r="F2434">
        <v>3253</v>
      </c>
      <c r="G2434" s="1">
        <v>0.50760000000000005</v>
      </c>
      <c r="H2434">
        <v>10</v>
      </c>
      <c r="I2434">
        <v>6377</v>
      </c>
    </row>
    <row r="2435" spans="1:9" x14ac:dyDescent="0.35">
      <c r="A2435" t="s">
        <v>9</v>
      </c>
      <c r="B2435" t="s">
        <v>2329</v>
      </c>
      <c r="C2435" t="s">
        <v>2381</v>
      </c>
      <c r="D2435" t="str">
        <f>"320904"</f>
        <v>320904</v>
      </c>
      <c r="E2435">
        <v>4211</v>
      </c>
      <c r="F2435">
        <v>2458</v>
      </c>
      <c r="G2435" s="1">
        <v>0.5837</v>
      </c>
      <c r="H2435">
        <v>7</v>
      </c>
      <c r="I2435">
        <v>4164</v>
      </c>
    </row>
    <row r="2436" spans="1:9" x14ac:dyDescent="0.35">
      <c r="A2436" t="s">
        <v>9</v>
      </c>
      <c r="B2436" t="s">
        <v>2329</v>
      </c>
      <c r="C2436" t="s">
        <v>2382</v>
      </c>
      <c r="D2436" t="str">
        <f>"320905"</f>
        <v>320905</v>
      </c>
      <c r="E2436">
        <v>4867</v>
      </c>
      <c r="F2436">
        <v>2978</v>
      </c>
      <c r="G2436" s="1">
        <v>0.6119</v>
      </c>
      <c r="H2436">
        <v>7</v>
      </c>
      <c r="I2436">
        <v>3907</v>
      </c>
    </row>
    <row r="2437" spans="1:9" x14ac:dyDescent="0.35">
      <c r="A2437" t="s">
        <v>9</v>
      </c>
      <c r="B2437" t="s">
        <v>2329</v>
      </c>
      <c r="C2437" t="s">
        <v>2383</v>
      </c>
      <c r="D2437" t="str">
        <f>"320906"</f>
        <v>320906</v>
      </c>
      <c r="E2437">
        <v>6098</v>
      </c>
      <c r="F2437">
        <v>3127</v>
      </c>
      <c r="G2437" s="1">
        <v>0.51280000000000003</v>
      </c>
      <c r="H2437">
        <v>9</v>
      </c>
      <c r="I2437">
        <v>6028</v>
      </c>
    </row>
    <row r="2438" spans="1:9" x14ac:dyDescent="0.35">
      <c r="A2438" t="s">
        <v>9</v>
      </c>
      <c r="B2438" t="s">
        <v>2329</v>
      </c>
      <c r="C2438" t="s">
        <v>2384</v>
      </c>
      <c r="D2438" t="str">
        <f>"320907"</f>
        <v>320907</v>
      </c>
      <c r="E2438">
        <v>10224</v>
      </c>
      <c r="F2438">
        <v>5903</v>
      </c>
      <c r="G2438" s="1">
        <v>0.57740000000000002</v>
      </c>
      <c r="H2438">
        <v>16</v>
      </c>
      <c r="I2438">
        <v>10167</v>
      </c>
    </row>
    <row r="2439" spans="1:9" x14ac:dyDescent="0.35">
      <c r="A2439" t="s">
        <v>9</v>
      </c>
      <c r="B2439" t="s">
        <v>2329</v>
      </c>
      <c r="C2439" t="s">
        <v>2385</v>
      </c>
      <c r="D2439" t="str">
        <f>"320908"</f>
        <v>320908</v>
      </c>
      <c r="E2439">
        <v>6057</v>
      </c>
      <c r="F2439">
        <v>3731</v>
      </c>
      <c r="G2439" s="1">
        <v>0.61599999999999999</v>
      </c>
      <c r="H2439">
        <v>9</v>
      </c>
      <c r="I2439">
        <v>5956</v>
      </c>
    </row>
    <row r="2440" spans="1:9" x14ac:dyDescent="0.35">
      <c r="A2440" t="s">
        <v>9</v>
      </c>
      <c r="B2440" t="s">
        <v>2329</v>
      </c>
      <c r="C2440" t="s">
        <v>2386</v>
      </c>
      <c r="D2440" t="str">
        <f>"321001"</f>
        <v>321001</v>
      </c>
      <c r="E2440">
        <v>13634</v>
      </c>
      <c r="F2440">
        <v>7442</v>
      </c>
      <c r="G2440" s="1">
        <v>0.54579999999999995</v>
      </c>
      <c r="H2440">
        <v>18</v>
      </c>
      <c r="I2440">
        <v>13514</v>
      </c>
    </row>
    <row r="2441" spans="1:9" x14ac:dyDescent="0.35">
      <c r="A2441" t="s">
        <v>9</v>
      </c>
      <c r="B2441" t="s">
        <v>2329</v>
      </c>
      <c r="C2441" t="s">
        <v>2387</v>
      </c>
      <c r="D2441" t="str">
        <f>"321002"</f>
        <v>321002</v>
      </c>
      <c r="E2441">
        <v>2092</v>
      </c>
      <c r="F2441">
        <v>997</v>
      </c>
      <c r="G2441" s="1">
        <v>0.47660000000000002</v>
      </c>
      <c r="H2441">
        <v>4</v>
      </c>
      <c r="I2441">
        <v>2090</v>
      </c>
    </row>
    <row r="2442" spans="1:9" x14ac:dyDescent="0.35">
      <c r="A2442" t="s">
        <v>9</v>
      </c>
      <c r="B2442" t="s">
        <v>2329</v>
      </c>
      <c r="C2442" t="s">
        <v>806</v>
      </c>
      <c r="D2442" t="str">
        <f>"321003"</f>
        <v>321003</v>
      </c>
      <c r="E2442">
        <v>14560</v>
      </c>
      <c r="F2442">
        <v>7136</v>
      </c>
      <c r="G2442" s="1">
        <v>0.49009999999999998</v>
      </c>
      <c r="H2442">
        <v>16</v>
      </c>
      <c r="I2442">
        <v>14548</v>
      </c>
    </row>
    <row r="2443" spans="1:9" x14ac:dyDescent="0.35">
      <c r="A2443" t="s">
        <v>9</v>
      </c>
      <c r="B2443" t="s">
        <v>2329</v>
      </c>
      <c r="C2443" t="s">
        <v>2388</v>
      </c>
      <c r="D2443" t="str">
        <f>"321004"</f>
        <v>321004</v>
      </c>
      <c r="E2443">
        <v>14184</v>
      </c>
      <c r="F2443">
        <v>7575</v>
      </c>
      <c r="G2443" s="1">
        <v>0.53410000000000002</v>
      </c>
      <c r="H2443">
        <v>24</v>
      </c>
      <c r="I2443">
        <v>14137</v>
      </c>
    </row>
    <row r="2444" spans="1:9" x14ac:dyDescent="0.35">
      <c r="A2444" t="s">
        <v>9</v>
      </c>
      <c r="B2444" t="s">
        <v>2329</v>
      </c>
      <c r="C2444" t="s">
        <v>2389</v>
      </c>
      <c r="D2444" t="str">
        <f>"321005"</f>
        <v>321005</v>
      </c>
      <c r="E2444">
        <v>2527</v>
      </c>
      <c r="F2444">
        <v>1267</v>
      </c>
      <c r="G2444" s="1">
        <v>0.50139999999999996</v>
      </c>
      <c r="H2444">
        <v>5</v>
      </c>
      <c r="I2444">
        <v>2490</v>
      </c>
    </row>
    <row r="2445" spans="1:9" x14ac:dyDescent="0.35">
      <c r="A2445" t="s">
        <v>9</v>
      </c>
      <c r="B2445" t="s">
        <v>2329</v>
      </c>
      <c r="C2445" t="s">
        <v>2390</v>
      </c>
      <c r="D2445" t="str">
        <f>"321101"</f>
        <v>321101</v>
      </c>
      <c r="E2445">
        <v>19658</v>
      </c>
      <c r="F2445">
        <v>12726</v>
      </c>
      <c r="G2445" s="1">
        <v>0.64739999999999998</v>
      </c>
      <c r="H2445">
        <v>14</v>
      </c>
      <c r="I2445">
        <v>19291</v>
      </c>
    </row>
    <row r="2446" spans="1:9" x14ac:dyDescent="0.35">
      <c r="A2446" t="s">
        <v>9</v>
      </c>
      <c r="B2446" t="s">
        <v>2329</v>
      </c>
      <c r="C2446" t="s">
        <v>2391</v>
      </c>
      <c r="D2446" t="str">
        <f>"321102"</f>
        <v>321102</v>
      </c>
      <c r="E2446">
        <v>10501</v>
      </c>
      <c r="F2446">
        <v>5953</v>
      </c>
      <c r="G2446" s="1">
        <v>0.56689999999999996</v>
      </c>
      <c r="H2446">
        <v>7</v>
      </c>
      <c r="I2446">
        <v>10314</v>
      </c>
    </row>
    <row r="2447" spans="1:9" x14ac:dyDescent="0.35">
      <c r="A2447" t="s">
        <v>9</v>
      </c>
      <c r="B2447" t="s">
        <v>2329</v>
      </c>
      <c r="C2447" t="s">
        <v>2392</v>
      </c>
      <c r="D2447" t="str">
        <f>"321103"</f>
        <v>321103</v>
      </c>
      <c r="E2447">
        <v>1209</v>
      </c>
      <c r="F2447">
        <v>832</v>
      </c>
      <c r="G2447" s="1">
        <v>0.68820000000000003</v>
      </c>
      <c r="H2447">
        <v>2</v>
      </c>
      <c r="I2447">
        <v>1186</v>
      </c>
    </row>
    <row r="2448" spans="1:9" x14ac:dyDescent="0.35">
      <c r="A2448" t="s">
        <v>9</v>
      </c>
      <c r="B2448" t="s">
        <v>2329</v>
      </c>
      <c r="C2448" t="s">
        <v>2393</v>
      </c>
      <c r="D2448" t="str">
        <f>"321104"</f>
        <v>321104</v>
      </c>
      <c r="E2448">
        <v>28925</v>
      </c>
      <c r="F2448">
        <v>16361</v>
      </c>
      <c r="G2448" s="1">
        <v>0.56559999999999999</v>
      </c>
      <c r="H2448">
        <v>27</v>
      </c>
      <c r="I2448">
        <v>28774</v>
      </c>
    </row>
    <row r="2449" spans="1:9" x14ac:dyDescent="0.35">
      <c r="A2449" t="s">
        <v>9</v>
      </c>
      <c r="B2449" t="s">
        <v>2329</v>
      </c>
      <c r="C2449" t="s">
        <v>2394</v>
      </c>
      <c r="D2449" t="str">
        <f>"321201"</f>
        <v>321201</v>
      </c>
      <c r="E2449">
        <v>2300</v>
      </c>
      <c r="F2449">
        <v>1246</v>
      </c>
      <c r="G2449" s="1">
        <v>0.54169999999999996</v>
      </c>
      <c r="H2449">
        <v>2</v>
      </c>
      <c r="I2449">
        <v>2291</v>
      </c>
    </row>
    <row r="2450" spans="1:9" x14ac:dyDescent="0.35">
      <c r="A2450" t="s">
        <v>9</v>
      </c>
      <c r="B2450" t="s">
        <v>2329</v>
      </c>
      <c r="C2450" t="s">
        <v>2395</v>
      </c>
      <c r="D2450" t="str">
        <f>"321202"</f>
        <v>321202</v>
      </c>
      <c r="E2450">
        <v>1847</v>
      </c>
      <c r="F2450">
        <v>933</v>
      </c>
      <c r="G2450" s="1">
        <v>0.50509999999999999</v>
      </c>
      <c r="H2450">
        <v>3</v>
      </c>
      <c r="I2450">
        <v>1847</v>
      </c>
    </row>
    <row r="2451" spans="1:9" x14ac:dyDescent="0.35">
      <c r="A2451" t="s">
        <v>9</v>
      </c>
      <c r="B2451" t="s">
        <v>2329</v>
      </c>
      <c r="C2451" t="s">
        <v>2396</v>
      </c>
      <c r="D2451" t="str">
        <f>"321203"</f>
        <v>321203</v>
      </c>
      <c r="E2451">
        <v>4179</v>
      </c>
      <c r="F2451">
        <v>2114</v>
      </c>
      <c r="G2451" s="1">
        <v>0.50590000000000002</v>
      </c>
      <c r="H2451">
        <v>4</v>
      </c>
      <c r="I2451">
        <v>4139</v>
      </c>
    </row>
    <row r="2452" spans="1:9" x14ac:dyDescent="0.35">
      <c r="A2452" t="s">
        <v>9</v>
      </c>
      <c r="B2452" t="s">
        <v>2329</v>
      </c>
      <c r="C2452" t="s">
        <v>2397</v>
      </c>
      <c r="D2452" t="str">
        <f>"321204"</f>
        <v>321204</v>
      </c>
      <c r="E2452">
        <v>3671</v>
      </c>
      <c r="F2452">
        <v>1910</v>
      </c>
      <c r="G2452" s="1">
        <v>0.52029999999999998</v>
      </c>
      <c r="H2452">
        <v>8</v>
      </c>
      <c r="I2452">
        <v>3652</v>
      </c>
    </row>
    <row r="2453" spans="1:9" x14ac:dyDescent="0.35">
      <c r="A2453" t="s">
        <v>9</v>
      </c>
      <c r="B2453" t="s">
        <v>2329</v>
      </c>
      <c r="C2453" t="s">
        <v>2398</v>
      </c>
      <c r="D2453" t="str">
        <f>"321205"</f>
        <v>321205</v>
      </c>
      <c r="E2453">
        <v>13817</v>
      </c>
      <c r="F2453">
        <v>7968</v>
      </c>
      <c r="G2453" s="1">
        <v>0.57669999999999999</v>
      </c>
      <c r="H2453">
        <v>13</v>
      </c>
      <c r="I2453">
        <v>13714</v>
      </c>
    </row>
    <row r="2454" spans="1:9" x14ac:dyDescent="0.35">
      <c r="A2454" t="s">
        <v>9</v>
      </c>
      <c r="B2454" t="s">
        <v>2329</v>
      </c>
      <c r="C2454" t="s">
        <v>2399</v>
      </c>
      <c r="D2454" t="str">
        <f>"321206"</f>
        <v>321206</v>
      </c>
      <c r="E2454">
        <v>2439</v>
      </c>
      <c r="F2454">
        <v>1318</v>
      </c>
      <c r="G2454" s="1">
        <v>0.54039999999999999</v>
      </c>
      <c r="H2454">
        <v>4</v>
      </c>
      <c r="I2454">
        <v>2431</v>
      </c>
    </row>
    <row r="2455" spans="1:9" x14ac:dyDescent="0.35">
      <c r="A2455" t="s">
        <v>9</v>
      </c>
      <c r="B2455" t="s">
        <v>2329</v>
      </c>
      <c r="C2455" t="s">
        <v>2400</v>
      </c>
      <c r="D2455" t="str">
        <f>"321301"</f>
        <v>321301</v>
      </c>
      <c r="E2455">
        <v>9949</v>
      </c>
      <c r="F2455">
        <v>5794</v>
      </c>
      <c r="G2455" s="1">
        <v>0.58240000000000003</v>
      </c>
      <c r="H2455">
        <v>8</v>
      </c>
      <c r="I2455">
        <v>9400</v>
      </c>
    </row>
    <row r="2456" spans="1:9" x14ac:dyDescent="0.35">
      <c r="A2456" t="s">
        <v>9</v>
      </c>
      <c r="B2456" t="s">
        <v>2329</v>
      </c>
      <c r="C2456" t="s">
        <v>2401</v>
      </c>
      <c r="D2456" t="str">
        <f>"321302"</f>
        <v>321302</v>
      </c>
      <c r="E2456">
        <v>8760</v>
      </c>
      <c r="F2456">
        <v>5038</v>
      </c>
      <c r="G2456" s="1">
        <v>0.57509999999999994</v>
      </c>
      <c r="H2456">
        <v>5</v>
      </c>
      <c r="I2456">
        <v>8703</v>
      </c>
    </row>
    <row r="2457" spans="1:9" x14ac:dyDescent="0.35">
      <c r="A2457" t="s">
        <v>9</v>
      </c>
      <c r="B2457" t="s">
        <v>2329</v>
      </c>
      <c r="C2457" t="s">
        <v>2402</v>
      </c>
      <c r="D2457" t="str">
        <f>"321303"</f>
        <v>321303</v>
      </c>
      <c r="E2457">
        <v>6772</v>
      </c>
      <c r="F2457">
        <v>4117</v>
      </c>
      <c r="G2457" s="1">
        <v>0.6079</v>
      </c>
      <c r="H2457">
        <v>18</v>
      </c>
      <c r="I2457">
        <v>6026</v>
      </c>
    </row>
    <row r="2458" spans="1:9" x14ac:dyDescent="0.35">
      <c r="A2458" t="s">
        <v>9</v>
      </c>
      <c r="B2458" t="s">
        <v>2329</v>
      </c>
      <c r="C2458" t="s">
        <v>2403</v>
      </c>
      <c r="D2458" t="str">
        <f>"321304"</f>
        <v>321304</v>
      </c>
      <c r="E2458">
        <v>4676</v>
      </c>
      <c r="F2458">
        <v>2508</v>
      </c>
      <c r="G2458" s="1">
        <v>0.53639999999999999</v>
      </c>
      <c r="H2458">
        <v>11</v>
      </c>
      <c r="I2458">
        <v>4663</v>
      </c>
    </row>
    <row r="2459" spans="1:9" x14ac:dyDescent="0.35">
      <c r="A2459" t="s">
        <v>9</v>
      </c>
      <c r="B2459" t="s">
        <v>2329</v>
      </c>
      <c r="C2459" t="s">
        <v>2404</v>
      </c>
      <c r="D2459" t="str">
        <f>"321305"</f>
        <v>321305</v>
      </c>
      <c r="E2459">
        <v>5708</v>
      </c>
      <c r="F2459">
        <v>3228</v>
      </c>
      <c r="G2459" s="1">
        <v>0.5655</v>
      </c>
      <c r="H2459">
        <v>14</v>
      </c>
      <c r="I2459">
        <v>5253</v>
      </c>
    </row>
    <row r="2460" spans="1:9" x14ac:dyDescent="0.35">
      <c r="A2460" t="s">
        <v>9</v>
      </c>
      <c r="B2460" t="s">
        <v>2329</v>
      </c>
      <c r="C2460" t="s">
        <v>674</v>
      </c>
      <c r="D2460" t="str">
        <f>"321306"</f>
        <v>321306</v>
      </c>
      <c r="E2460">
        <v>6355</v>
      </c>
      <c r="F2460">
        <v>3171</v>
      </c>
      <c r="G2460" s="1">
        <v>0.499</v>
      </c>
      <c r="H2460">
        <v>16</v>
      </c>
      <c r="I2460">
        <v>6296</v>
      </c>
    </row>
    <row r="2461" spans="1:9" x14ac:dyDescent="0.35">
      <c r="A2461" t="s">
        <v>9</v>
      </c>
      <c r="B2461" t="s">
        <v>2329</v>
      </c>
      <c r="C2461" t="s">
        <v>2405</v>
      </c>
      <c r="D2461" t="str">
        <f>"321401"</f>
        <v>321401</v>
      </c>
      <c r="E2461">
        <v>48083</v>
      </c>
      <c r="F2461">
        <v>28638</v>
      </c>
      <c r="G2461" s="1">
        <v>0.59560000000000002</v>
      </c>
      <c r="H2461">
        <v>34</v>
      </c>
      <c r="I2461">
        <v>47860</v>
      </c>
    </row>
    <row r="2462" spans="1:9" x14ac:dyDescent="0.35">
      <c r="A2462" t="s">
        <v>9</v>
      </c>
      <c r="B2462" t="s">
        <v>2329</v>
      </c>
      <c r="C2462" t="s">
        <v>2406</v>
      </c>
      <c r="D2462" t="str">
        <f>"321402"</f>
        <v>321402</v>
      </c>
      <c r="E2462">
        <v>4329</v>
      </c>
      <c r="F2462">
        <v>2529</v>
      </c>
      <c r="G2462" s="1">
        <v>0.58420000000000005</v>
      </c>
      <c r="H2462">
        <v>9</v>
      </c>
      <c r="I2462">
        <v>4314</v>
      </c>
    </row>
    <row r="2463" spans="1:9" x14ac:dyDescent="0.35">
      <c r="A2463" t="s">
        <v>9</v>
      </c>
      <c r="B2463" t="s">
        <v>2329</v>
      </c>
      <c r="C2463" t="s">
        <v>2407</v>
      </c>
      <c r="D2463" t="str">
        <f>"321403"</f>
        <v>321403</v>
      </c>
      <c r="E2463">
        <v>3464</v>
      </c>
      <c r="F2463">
        <v>1590</v>
      </c>
      <c r="G2463" s="1">
        <v>0.45900000000000002</v>
      </c>
      <c r="H2463">
        <v>5</v>
      </c>
      <c r="I2463">
        <v>3464</v>
      </c>
    </row>
    <row r="2464" spans="1:9" x14ac:dyDescent="0.35">
      <c r="A2464" t="s">
        <v>9</v>
      </c>
      <c r="B2464" t="s">
        <v>2329</v>
      </c>
      <c r="C2464" t="s">
        <v>2408</v>
      </c>
      <c r="D2464" t="str">
        <f>"321404"</f>
        <v>321404</v>
      </c>
      <c r="E2464">
        <v>5453</v>
      </c>
      <c r="F2464">
        <v>2692</v>
      </c>
      <c r="G2464" s="1">
        <v>0.49370000000000003</v>
      </c>
      <c r="H2464">
        <v>11</v>
      </c>
      <c r="I2464">
        <v>5442</v>
      </c>
    </row>
    <row r="2465" spans="1:9" x14ac:dyDescent="0.35">
      <c r="A2465" t="s">
        <v>9</v>
      </c>
      <c r="B2465" t="s">
        <v>2329</v>
      </c>
      <c r="C2465" t="s">
        <v>2409</v>
      </c>
      <c r="D2465" t="str">
        <f>"321405"</f>
        <v>321405</v>
      </c>
      <c r="E2465">
        <v>2540</v>
      </c>
      <c r="F2465">
        <v>1362</v>
      </c>
      <c r="G2465" s="1">
        <v>0.53620000000000001</v>
      </c>
      <c r="H2465">
        <v>3</v>
      </c>
      <c r="I2465">
        <v>2486</v>
      </c>
    </row>
    <row r="2466" spans="1:9" x14ac:dyDescent="0.35">
      <c r="A2466" t="s">
        <v>9</v>
      </c>
      <c r="B2466" t="s">
        <v>2329</v>
      </c>
      <c r="C2466" t="s">
        <v>2410</v>
      </c>
      <c r="D2466" t="str">
        <f>"321406"</f>
        <v>321406</v>
      </c>
      <c r="E2466">
        <v>4843</v>
      </c>
      <c r="F2466">
        <v>3122</v>
      </c>
      <c r="G2466" s="1">
        <v>0.64459999999999995</v>
      </c>
      <c r="H2466">
        <v>5</v>
      </c>
      <c r="I2466">
        <v>4819</v>
      </c>
    </row>
    <row r="2467" spans="1:9" x14ac:dyDescent="0.35">
      <c r="A2467" t="s">
        <v>9</v>
      </c>
      <c r="B2467" t="s">
        <v>2329</v>
      </c>
      <c r="C2467" t="s">
        <v>2411</v>
      </c>
      <c r="D2467" t="str">
        <f>"321408"</f>
        <v>321408</v>
      </c>
      <c r="E2467">
        <v>2319</v>
      </c>
      <c r="F2467">
        <v>1243</v>
      </c>
      <c r="G2467" s="1">
        <v>0.53600000000000003</v>
      </c>
      <c r="H2467">
        <v>4</v>
      </c>
      <c r="I2467">
        <v>2298</v>
      </c>
    </row>
    <row r="2468" spans="1:9" x14ac:dyDescent="0.35">
      <c r="A2468" t="s">
        <v>9</v>
      </c>
      <c r="B2468" t="s">
        <v>2329</v>
      </c>
      <c r="C2468" t="s">
        <v>2412</v>
      </c>
      <c r="D2468" t="str">
        <f>"321409"</f>
        <v>321409</v>
      </c>
      <c r="E2468">
        <v>2695</v>
      </c>
      <c r="F2468">
        <v>1389</v>
      </c>
      <c r="G2468" s="1">
        <v>0.51539999999999997</v>
      </c>
      <c r="H2468">
        <v>5</v>
      </c>
      <c r="I2468">
        <v>2666</v>
      </c>
    </row>
    <row r="2469" spans="1:9" x14ac:dyDescent="0.35">
      <c r="A2469" t="s">
        <v>9</v>
      </c>
      <c r="B2469" t="s">
        <v>2329</v>
      </c>
      <c r="C2469" t="s">
        <v>2413</v>
      </c>
      <c r="D2469" t="str">
        <f>"321410"</f>
        <v>321410</v>
      </c>
      <c r="E2469">
        <v>11022</v>
      </c>
      <c r="F2469">
        <v>6298</v>
      </c>
      <c r="G2469" s="1">
        <v>0.57140000000000002</v>
      </c>
      <c r="H2469">
        <v>20</v>
      </c>
      <c r="I2469">
        <v>10893</v>
      </c>
    </row>
    <row r="2470" spans="1:9" x14ac:dyDescent="0.35">
      <c r="A2470" t="s">
        <v>9</v>
      </c>
      <c r="B2470" t="s">
        <v>2329</v>
      </c>
      <c r="C2470" t="s">
        <v>2414</v>
      </c>
      <c r="D2470" t="str">
        <f>"321411"</f>
        <v>321411</v>
      </c>
      <c r="E2470">
        <v>3082</v>
      </c>
      <c r="F2470">
        <v>1552</v>
      </c>
      <c r="G2470" s="1">
        <v>0.50360000000000005</v>
      </c>
      <c r="H2470">
        <v>4</v>
      </c>
      <c r="I2470">
        <v>3062</v>
      </c>
    </row>
    <row r="2471" spans="1:9" x14ac:dyDescent="0.35">
      <c r="A2471" t="s">
        <v>9</v>
      </c>
      <c r="B2471" t="s">
        <v>2329</v>
      </c>
      <c r="C2471" t="s">
        <v>2415</v>
      </c>
      <c r="D2471" t="str">
        <f>"321501"</f>
        <v>321501</v>
      </c>
      <c r="E2471">
        <v>27764</v>
      </c>
      <c r="F2471">
        <v>16457</v>
      </c>
      <c r="G2471" s="1">
        <v>0.5927</v>
      </c>
      <c r="H2471">
        <v>21</v>
      </c>
      <c r="I2471">
        <v>27392</v>
      </c>
    </row>
    <row r="2472" spans="1:9" x14ac:dyDescent="0.35">
      <c r="A2472" t="s">
        <v>9</v>
      </c>
      <c r="B2472" t="s">
        <v>2329</v>
      </c>
      <c r="C2472" t="s">
        <v>2416</v>
      </c>
      <c r="D2472" t="str">
        <f>"321502"</f>
        <v>321502</v>
      </c>
      <c r="E2472">
        <v>6134</v>
      </c>
      <c r="F2472">
        <v>2849</v>
      </c>
      <c r="G2472" s="1">
        <v>0.46450000000000002</v>
      </c>
      <c r="H2472">
        <v>5</v>
      </c>
      <c r="I2472">
        <v>6099</v>
      </c>
    </row>
    <row r="2473" spans="1:9" x14ac:dyDescent="0.35">
      <c r="A2473" t="s">
        <v>9</v>
      </c>
      <c r="B2473" t="s">
        <v>2329</v>
      </c>
      <c r="C2473" t="s">
        <v>2417</v>
      </c>
      <c r="D2473" t="str">
        <f>"321503"</f>
        <v>321503</v>
      </c>
      <c r="E2473">
        <v>3813</v>
      </c>
      <c r="F2473">
        <v>1987</v>
      </c>
      <c r="G2473" s="1">
        <v>0.52110000000000001</v>
      </c>
      <c r="H2473">
        <v>8</v>
      </c>
      <c r="I2473">
        <v>3716</v>
      </c>
    </row>
    <row r="2474" spans="1:9" x14ac:dyDescent="0.35">
      <c r="A2474" t="s">
        <v>9</v>
      </c>
      <c r="B2474" t="s">
        <v>2329</v>
      </c>
      <c r="C2474" t="s">
        <v>2418</v>
      </c>
      <c r="D2474" t="str">
        <f>"321504"</f>
        <v>321504</v>
      </c>
      <c r="E2474">
        <v>7060</v>
      </c>
      <c r="F2474">
        <v>4000</v>
      </c>
      <c r="G2474" s="1">
        <v>0.56659999999999999</v>
      </c>
      <c r="H2474">
        <v>11</v>
      </c>
      <c r="I2474">
        <v>6940</v>
      </c>
    </row>
    <row r="2475" spans="1:9" x14ac:dyDescent="0.35">
      <c r="A2475" t="s">
        <v>9</v>
      </c>
      <c r="B2475" t="s">
        <v>2329</v>
      </c>
      <c r="C2475" t="s">
        <v>2419</v>
      </c>
      <c r="D2475" t="str">
        <f>"321505"</f>
        <v>321505</v>
      </c>
      <c r="E2475">
        <v>3415</v>
      </c>
      <c r="F2475">
        <v>1742</v>
      </c>
      <c r="G2475" s="1">
        <v>0.5101</v>
      </c>
      <c r="H2475">
        <v>6</v>
      </c>
      <c r="I2475">
        <v>3401</v>
      </c>
    </row>
    <row r="2476" spans="1:9" x14ac:dyDescent="0.35">
      <c r="A2476" t="s">
        <v>9</v>
      </c>
      <c r="B2476" t="s">
        <v>2329</v>
      </c>
      <c r="C2476" t="s">
        <v>2420</v>
      </c>
      <c r="D2476" t="str">
        <f>"321506"</f>
        <v>321506</v>
      </c>
      <c r="E2476">
        <v>6882</v>
      </c>
      <c r="F2476">
        <v>3513</v>
      </c>
      <c r="G2476" s="1">
        <v>0.51049999999999995</v>
      </c>
      <c r="H2476">
        <v>14</v>
      </c>
      <c r="I2476">
        <v>6792</v>
      </c>
    </row>
    <row r="2477" spans="1:9" x14ac:dyDescent="0.35">
      <c r="A2477" t="s">
        <v>9</v>
      </c>
      <c r="B2477" t="s">
        <v>2329</v>
      </c>
      <c r="C2477" t="s">
        <v>2421</v>
      </c>
      <c r="D2477" t="str">
        <f>"321601"</f>
        <v>321601</v>
      </c>
      <c r="E2477">
        <v>10822</v>
      </c>
      <c r="F2477">
        <v>6028</v>
      </c>
      <c r="G2477" s="1">
        <v>0.55700000000000005</v>
      </c>
      <c r="H2477">
        <v>8</v>
      </c>
      <c r="I2477">
        <v>10758</v>
      </c>
    </row>
    <row r="2478" spans="1:9" x14ac:dyDescent="0.35">
      <c r="A2478" t="s">
        <v>9</v>
      </c>
      <c r="B2478" t="s">
        <v>2329</v>
      </c>
      <c r="C2478" t="s">
        <v>2422</v>
      </c>
      <c r="D2478" t="str">
        <f>"321602"</f>
        <v>321602</v>
      </c>
      <c r="E2478">
        <v>2014</v>
      </c>
      <c r="F2478">
        <v>1138</v>
      </c>
      <c r="G2478" s="1">
        <v>0.56499999999999995</v>
      </c>
      <c r="H2478">
        <v>4</v>
      </c>
      <c r="I2478">
        <v>1981</v>
      </c>
    </row>
    <row r="2479" spans="1:9" x14ac:dyDescent="0.35">
      <c r="A2479" t="s">
        <v>9</v>
      </c>
      <c r="B2479" t="s">
        <v>2329</v>
      </c>
      <c r="C2479" t="s">
        <v>2423</v>
      </c>
      <c r="D2479" t="str">
        <f>"321603"</f>
        <v>321603</v>
      </c>
      <c r="E2479">
        <v>10774</v>
      </c>
      <c r="F2479">
        <v>5347</v>
      </c>
      <c r="G2479" s="1">
        <v>0.49630000000000002</v>
      </c>
      <c r="H2479">
        <v>9</v>
      </c>
      <c r="I2479">
        <v>10702</v>
      </c>
    </row>
    <row r="2480" spans="1:9" x14ac:dyDescent="0.35">
      <c r="A2480" t="s">
        <v>9</v>
      </c>
      <c r="B2480" t="s">
        <v>2329</v>
      </c>
      <c r="C2480" t="s">
        <v>2424</v>
      </c>
      <c r="D2480" t="str">
        <f>"321604"</f>
        <v>321604</v>
      </c>
      <c r="E2480">
        <v>2557</v>
      </c>
      <c r="F2480">
        <v>1252</v>
      </c>
      <c r="G2480" s="1">
        <v>0.48959999999999998</v>
      </c>
      <c r="H2480">
        <v>5</v>
      </c>
      <c r="I2480">
        <v>2535</v>
      </c>
    </row>
    <row r="2481" spans="1:9" x14ac:dyDescent="0.35">
      <c r="A2481" t="s">
        <v>9</v>
      </c>
      <c r="B2481" t="s">
        <v>2329</v>
      </c>
      <c r="C2481" t="s">
        <v>2425</v>
      </c>
      <c r="D2481" t="str">
        <f>"321605"</f>
        <v>321605</v>
      </c>
      <c r="E2481">
        <v>2827</v>
      </c>
      <c r="F2481">
        <v>1393</v>
      </c>
      <c r="G2481" s="1">
        <v>0.49270000000000003</v>
      </c>
      <c r="H2481">
        <v>4</v>
      </c>
      <c r="I2481">
        <v>2822</v>
      </c>
    </row>
    <row r="2482" spans="1:9" x14ac:dyDescent="0.35">
      <c r="A2482" t="s">
        <v>9</v>
      </c>
      <c r="B2482" t="s">
        <v>2329</v>
      </c>
      <c r="C2482" t="s">
        <v>2426</v>
      </c>
      <c r="D2482" t="str">
        <f>"321606"</f>
        <v>321606</v>
      </c>
      <c r="E2482">
        <v>4304</v>
      </c>
      <c r="F2482">
        <v>2095</v>
      </c>
      <c r="G2482" s="1">
        <v>0.48680000000000001</v>
      </c>
      <c r="H2482">
        <v>11</v>
      </c>
      <c r="I2482">
        <v>4271</v>
      </c>
    </row>
    <row r="2483" spans="1:9" x14ac:dyDescent="0.35">
      <c r="A2483" t="s">
        <v>9</v>
      </c>
      <c r="B2483" t="s">
        <v>2329</v>
      </c>
      <c r="C2483" t="s">
        <v>2427</v>
      </c>
      <c r="D2483" t="str">
        <f>"321701"</f>
        <v>321701</v>
      </c>
      <c r="E2483">
        <v>17800</v>
      </c>
      <c r="F2483">
        <v>10434</v>
      </c>
      <c r="G2483" s="1">
        <v>0.58620000000000005</v>
      </c>
      <c r="H2483">
        <v>11</v>
      </c>
      <c r="I2483">
        <v>17582</v>
      </c>
    </row>
    <row r="2484" spans="1:9" x14ac:dyDescent="0.35">
      <c r="A2484" t="s">
        <v>9</v>
      </c>
      <c r="B2484" t="s">
        <v>2329</v>
      </c>
      <c r="C2484" t="s">
        <v>2428</v>
      </c>
      <c r="D2484" t="str">
        <f>"321702"</f>
        <v>321702</v>
      </c>
      <c r="E2484">
        <v>3672</v>
      </c>
      <c r="F2484">
        <v>1812</v>
      </c>
      <c r="G2484" s="1">
        <v>0.49349999999999999</v>
      </c>
      <c r="H2484">
        <v>4</v>
      </c>
      <c r="I2484">
        <v>3654</v>
      </c>
    </row>
    <row r="2485" spans="1:9" x14ac:dyDescent="0.35">
      <c r="A2485" t="s">
        <v>9</v>
      </c>
      <c r="B2485" t="s">
        <v>2329</v>
      </c>
      <c r="C2485" t="s">
        <v>2429</v>
      </c>
      <c r="D2485" t="str">
        <f>"321703"</f>
        <v>321703</v>
      </c>
      <c r="E2485">
        <v>3899</v>
      </c>
      <c r="F2485">
        <v>2124</v>
      </c>
      <c r="G2485" s="1">
        <v>0.54479999999999995</v>
      </c>
      <c r="H2485">
        <v>7</v>
      </c>
      <c r="I2485">
        <v>3860</v>
      </c>
    </row>
    <row r="2486" spans="1:9" x14ac:dyDescent="0.35">
      <c r="A2486" t="s">
        <v>9</v>
      </c>
      <c r="B2486" t="s">
        <v>2329</v>
      </c>
      <c r="C2486" t="s">
        <v>2430</v>
      </c>
      <c r="D2486" t="str">
        <f>"321704"</f>
        <v>321704</v>
      </c>
      <c r="E2486">
        <v>3534</v>
      </c>
      <c r="F2486">
        <v>1706</v>
      </c>
      <c r="G2486" s="1">
        <v>0.48270000000000002</v>
      </c>
      <c r="H2486">
        <v>6</v>
      </c>
      <c r="I2486">
        <v>3498</v>
      </c>
    </row>
    <row r="2487" spans="1:9" x14ac:dyDescent="0.35">
      <c r="A2487" t="s">
        <v>9</v>
      </c>
      <c r="B2487" t="s">
        <v>2329</v>
      </c>
      <c r="C2487" t="s">
        <v>2431</v>
      </c>
      <c r="D2487" t="str">
        <f>"321705"</f>
        <v>321705</v>
      </c>
      <c r="E2487">
        <v>9282</v>
      </c>
      <c r="F2487">
        <v>5098</v>
      </c>
      <c r="G2487" s="1">
        <v>0.54920000000000002</v>
      </c>
      <c r="H2487">
        <v>16</v>
      </c>
      <c r="I2487">
        <v>9264</v>
      </c>
    </row>
    <row r="2488" spans="1:9" x14ac:dyDescent="0.35">
      <c r="A2488" t="s">
        <v>9</v>
      </c>
      <c r="B2488" t="s">
        <v>2329</v>
      </c>
      <c r="C2488" t="s">
        <v>849</v>
      </c>
      <c r="D2488" t="str">
        <f>"321801"</f>
        <v>321801</v>
      </c>
      <c r="E2488">
        <v>2993</v>
      </c>
      <c r="F2488">
        <v>1482</v>
      </c>
      <c r="G2488" s="1">
        <v>0.49519999999999997</v>
      </c>
      <c r="H2488">
        <v>4</v>
      </c>
      <c r="I2488">
        <v>2983</v>
      </c>
    </row>
    <row r="2489" spans="1:9" x14ac:dyDescent="0.35">
      <c r="A2489" t="s">
        <v>9</v>
      </c>
      <c r="B2489" t="s">
        <v>2329</v>
      </c>
      <c r="C2489" t="s">
        <v>2432</v>
      </c>
      <c r="D2489" t="str">
        <f>"321802"</f>
        <v>321802</v>
      </c>
      <c r="E2489">
        <v>9784</v>
      </c>
      <c r="F2489">
        <v>5485</v>
      </c>
      <c r="G2489" s="1">
        <v>0.56059999999999999</v>
      </c>
      <c r="H2489">
        <v>11</v>
      </c>
      <c r="I2489">
        <v>9702</v>
      </c>
    </row>
    <row r="2490" spans="1:9" x14ac:dyDescent="0.35">
      <c r="A2490" t="s">
        <v>9</v>
      </c>
      <c r="B2490" t="s">
        <v>2329</v>
      </c>
      <c r="C2490" t="s">
        <v>2433</v>
      </c>
      <c r="D2490" t="str">
        <f>"321803"</f>
        <v>321803</v>
      </c>
      <c r="E2490">
        <v>2596</v>
      </c>
      <c r="F2490">
        <v>1345</v>
      </c>
      <c r="G2490" s="1">
        <v>0.5181</v>
      </c>
      <c r="H2490">
        <v>4</v>
      </c>
      <c r="I2490">
        <v>2581</v>
      </c>
    </row>
    <row r="2491" spans="1:9" x14ac:dyDescent="0.35">
      <c r="A2491" t="s">
        <v>9</v>
      </c>
      <c r="B2491" t="s">
        <v>2329</v>
      </c>
      <c r="C2491" t="s">
        <v>2434</v>
      </c>
      <c r="D2491" t="str">
        <f>"321804"</f>
        <v>321804</v>
      </c>
      <c r="E2491">
        <v>5430</v>
      </c>
      <c r="F2491">
        <v>2731</v>
      </c>
      <c r="G2491" s="1">
        <v>0.50290000000000001</v>
      </c>
      <c r="H2491">
        <v>6</v>
      </c>
      <c r="I2491">
        <v>5414</v>
      </c>
    </row>
    <row r="2492" spans="1:9" x14ac:dyDescent="0.35">
      <c r="A2492" t="s">
        <v>9</v>
      </c>
      <c r="B2492" t="s">
        <v>2329</v>
      </c>
      <c r="C2492" t="s">
        <v>2435</v>
      </c>
      <c r="D2492" t="str">
        <f>"321805"</f>
        <v>321805</v>
      </c>
      <c r="E2492">
        <v>5029</v>
      </c>
      <c r="F2492">
        <v>2410</v>
      </c>
      <c r="G2492" s="1">
        <v>0.47920000000000001</v>
      </c>
      <c r="H2492">
        <v>6</v>
      </c>
      <c r="I2492">
        <v>4980</v>
      </c>
    </row>
    <row r="2493" spans="1:9" x14ac:dyDescent="0.35">
      <c r="A2493" t="s">
        <v>9</v>
      </c>
      <c r="B2493" t="s">
        <v>2329</v>
      </c>
      <c r="C2493" t="s">
        <v>2436</v>
      </c>
      <c r="D2493" t="str">
        <f>"326101"</f>
        <v>326101</v>
      </c>
      <c r="E2493">
        <v>77197</v>
      </c>
      <c r="F2493">
        <v>47538</v>
      </c>
      <c r="G2493" s="1">
        <v>0.61580000000000001</v>
      </c>
      <c r="H2493">
        <v>50</v>
      </c>
      <c r="I2493">
        <v>75876</v>
      </c>
    </row>
    <row r="2494" spans="1:9" x14ac:dyDescent="0.35">
      <c r="A2494" t="s">
        <v>9</v>
      </c>
      <c r="B2494" t="s">
        <v>2329</v>
      </c>
      <c r="C2494" t="s">
        <v>2437</v>
      </c>
      <c r="D2494" t="str">
        <f>"326201"</f>
        <v>326201</v>
      </c>
      <c r="E2494">
        <v>281149</v>
      </c>
      <c r="F2494">
        <v>174994</v>
      </c>
      <c r="G2494" s="1">
        <v>0.62239999999999995</v>
      </c>
      <c r="H2494">
        <v>193</v>
      </c>
      <c r="I2494">
        <v>280118</v>
      </c>
    </row>
    <row r="2495" spans="1:9" x14ac:dyDescent="0.35">
      <c r="A2495" t="s">
        <v>9</v>
      </c>
      <c r="B2495" t="s">
        <v>2329</v>
      </c>
      <c r="C2495" t="s">
        <v>2438</v>
      </c>
      <c r="D2495" t="str">
        <f>"326301"</f>
        <v>326301</v>
      </c>
      <c r="E2495">
        <v>30749</v>
      </c>
      <c r="F2495">
        <v>18641</v>
      </c>
      <c r="G2495" s="1">
        <v>0.60619999999999996</v>
      </c>
      <c r="H2495">
        <v>25</v>
      </c>
      <c r="I2495">
        <v>29101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frekwencja_g17_00_gminy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Malangiewicz</dc:creator>
  <cp:lastModifiedBy>Bartosz Malangiewicz</cp:lastModifiedBy>
  <dcterms:created xsi:type="dcterms:W3CDTF">2023-11-07T11:34:57Z</dcterms:created>
  <dcterms:modified xsi:type="dcterms:W3CDTF">2023-11-07T11:34:57Z</dcterms:modified>
</cp:coreProperties>
</file>